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ДО\БУГРЫ 2023\ПРОТОКОЛЫ\ОВ2\"/>
    </mc:Choice>
  </mc:AlternateContent>
  <xr:revisionPtr revIDLastSave="0" documentId="13_ncr:1_{9895DC2E-4713-461C-A373-5ED0DAF1B516}" xr6:coauthVersionLast="45" xr6:coauthVersionMax="45" xr10:uidLastSave="{00000000-0000-0000-0000-000000000000}"/>
  <bookViews>
    <workbookView xWindow="-120" yWindow="-120" windowWidth="29040" windowHeight="15990" tabRatio="723" xr2:uid="{00000000-000D-0000-FFFF-FFFF00000000}"/>
  </bookViews>
  <sheets>
    <sheet name="КП ОВ2 К19" sheetId="1" r:id="rId1"/>
    <sheet name="Лист1" sheetId="2" r:id="rId2"/>
  </sheets>
  <definedNames>
    <definedName name="_xlnm.Print_Titles" localSheetId="0">'КП ОВ2 К19'!$16:$16</definedName>
    <definedName name="_xlnm.Print_Area" localSheetId="0">'КП ОВ2 К19'!$A$1:$I$725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18" i="1" l="1"/>
  <c r="I717" i="1"/>
  <c r="I716" i="1"/>
  <c r="I714" i="1" l="1"/>
  <c r="H714" i="1"/>
  <c r="E712" i="1"/>
  <c r="H712" i="1" s="1"/>
  <c r="E711" i="1"/>
  <c r="H711" i="1" s="1"/>
  <c r="I710" i="1"/>
  <c r="H709" i="1"/>
  <c r="I708" i="1"/>
  <c r="K707" i="1"/>
  <c r="H707" i="1"/>
  <c r="E706" i="1"/>
  <c r="H706" i="1" s="1"/>
  <c r="I705" i="1"/>
  <c r="K704" i="1"/>
  <c r="H704" i="1"/>
  <c r="K703" i="1"/>
  <c r="H703" i="1"/>
  <c r="K702" i="1"/>
  <c r="H702" i="1"/>
  <c r="K701" i="1"/>
  <c r="H701" i="1"/>
  <c r="K700" i="1"/>
  <c r="H700" i="1"/>
  <c r="K699" i="1"/>
  <c r="K697" i="1" s="1"/>
  <c r="H699" i="1"/>
  <c r="E698" i="1"/>
  <c r="H698" i="1" s="1"/>
  <c r="I697" i="1"/>
  <c r="I696" i="1"/>
  <c r="H695" i="1"/>
  <c r="I694" i="1"/>
  <c r="H693" i="1"/>
  <c r="I692" i="1"/>
  <c r="K680" i="1"/>
  <c r="K679" i="1"/>
  <c r="K678" i="1"/>
  <c r="K677" i="1"/>
  <c r="K676" i="1"/>
  <c r="K672" i="1"/>
  <c r="K653" i="1"/>
  <c r="K650" i="1"/>
  <c r="K588" i="1"/>
  <c r="K598" i="1"/>
  <c r="K587" i="1"/>
  <c r="I604" i="1"/>
  <c r="K674" i="1" l="1"/>
  <c r="I713" i="1"/>
  <c r="H713" i="1"/>
  <c r="L617" i="1" l="1"/>
  <c r="K596" i="1"/>
  <c r="K597" i="1"/>
  <c r="L592" i="1"/>
  <c r="K564" i="1"/>
  <c r="K562" i="1"/>
  <c r="K563" i="1"/>
  <c r="K559" i="1"/>
  <c r="K541" i="1"/>
  <c r="K534" i="1"/>
  <c r="H531" i="1"/>
  <c r="I530" i="1"/>
  <c r="H529" i="1"/>
  <c r="I528" i="1"/>
  <c r="K527" i="1"/>
  <c r="K590" i="1" l="1"/>
  <c r="K560" i="1"/>
  <c r="K516" i="1"/>
  <c r="K515" i="1"/>
  <c r="L513" i="1"/>
  <c r="K486" i="1"/>
  <c r="K480" i="1"/>
  <c r="K479" i="1"/>
  <c r="K478" i="1"/>
  <c r="K438" i="1"/>
  <c r="K437" i="1"/>
  <c r="H437" i="1"/>
  <c r="K436" i="1"/>
  <c r="K485" i="1"/>
  <c r="K471" i="1"/>
  <c r="H471" i="1"/>
  <c r="K469" i="1"/>
  <c r="H469" i="1"/>
  <c r="K470" i="1"/>
  <c r="K468" i="1"/>
  <c r="K452" i="1"/>
  <c r="K467" i="1"/>
  <c r="K444" i="1"/>
  <c r="K439" i="1"/>
  <c r="K487" i="1"/>
  <c r="K465" i="1"/>
  <c r="K466" i="1"/>
  <c r="K451" i="1"/>
  <c r="K464" i="1"/>
  <c r="H462" i="1"/>
  <c r="K462" i="1"/>
  <c r="K477" i="1"/>
  <c r="K463" i="1"/>
  <c r="K461" i="1"/>
  <c r="H461" i="1"/>
  <c r="K450" i="1"/>
  <c r="K443" i="1"/>
  <c r="K484" i="1"/>
  <c r="K483" i="1"/>
  <c r="K475" i="1"/>
  <c r="K474" i="1"/>
  <c r="K459" i="1"/>
  <c r="K458" i="1"/>
  <c r="K457" i="1"/>
  <c r="K455" i="1"/>
  <c r="K456" i="1"/>
  <c r="K449" i="1"/>
  <c r="K460" i="1"/>
  <c r="H460" i="1"/>
  <c r="K448" i="1"/>
  <c r="I495" i="1"/>
  <c r="I493" i="1"/>
  <c r="H492" i="1"/>
  <c r="K410" i="1"/>
  <c r="K404" i="1"/>
  <c r="K403" i="1"/>
  <c r="K364" i="1"/>
  <c r="K363" i="1"/>
  <c r="K409" i="1"/>
  <c r="K402" i="1"/>
  <c r="H402" i="1"/>
  <c r="K392" i="1"/>
  <c r="K401" i="1"/>
  <c r="K391" i="1"/>
  <c r="H391" i="1"/>
  <c r="K390" i="1"/>
  <c r="K379" i="1"/>
  <c r="K400" i="1"/>
  <c r="K365" i="1"/>
  <c r="K371" i="1"/>
  <c r="H371" i="1"/>
  <c r="K370" i="1"/>
  <c r="K411" i="1"/>
  <c r="K397" i="1"/>
  <c r="K389" i="1"/>
  <c r="H389" i="1"/>
  <c r="K388" i="1"/>
  <c r="H388" i="1"/>
  <c r="K378" i="1"/>
  <c r="K387" i="1"/>
  <c r="K399" i="1"/>
  <c r="H399" i="1"/>
  <c r="K386" i="1"/>
  <c r="K398" i="1"/>
  <c r="K377" i="1"/>
  <c r="K369" i="1"/>
  <c r="K408" i="1"/>
  <c r="K407" i="1"/>
  <c r="K396" i="1"/>
  <c r="K395" i="1"/>
  <c r="K385" i="1"/>
  <c r="H385" i="1"/>
  <c r="K384" i="1"/>
  <c r="K383" i="1"/>
  <c r="H383" i="1"/>
  <c r="K382" i="1"/>
  <c r="K376" i="1"/>
  <c r="K375" i="1"/>
  <c r="I420" i="1"/>
  <c r="I418" i="1"/>
  <c r="H415" i="1"/>
  <c r="K336" i="1"/>
  <c r="K337" i="1"/>
  <c r="K340" i="1"/>
  <c r="K339" i="1"/>
  <c r="K344" i="1"/>
  <c r="K338" i="1"/>
  <c r="K341" i="1"/>
  <c r="I333" i="1"/>
  <c r="K317" i="1"/>
  <c r="K316" i="1"/>
  <c r="K315" i="1"/>
  <c r="K314" i="1"/>
  <c r="K313" i="1"/>
  <c r="K310" i="1"/>
  <c r="K309" i="1"/>
  <c r="I302" i="1"/>
  <c r="K290" i="1"/>
  <c r="K287" i="1"/>
  <c r="I283" i="1"/>
  <c r="I265" i="1"/>
  <c r="E251" i="1"/>
  <c r="L250" i="1"/>
  <c r="I246" i="1"/>
  <c r="K238" i="1"/>
  <c r="K239" i="1"/>
  <c r="H239" i="1"/>
  <c r="K234" i="1"/>
  <c r="L230" i="1"/>
  <c r="I199" i="1"/>
  <c r="K196" i="1"/>
  <c r="K184" i="1"/>
  <c r="K183" i="1"/>
  <c r="K185" i="1"/>
  <c r="AI22" i="2"/>
  <c r="AI21" i="2"/>
  <c r="AI20" i="2"/>
  <c r="AI19" i="2"/>
  <c r="AI18" i="2"/>
  <c r="AI17" i="2"/>
  <c r="AI16" i="2"/>
  <c r="AI10" i="2"/>
  <c r="AI9" i="2"/>
  <c r="AI8" i="2"/>
  <c r="AI7" i="2"/>
  <c r="AI6" i="2"/>
  <c r="AI5" i="2"/>
  <c r="AI4" i="2"/>
  <c r="K511" i="1" l="1"/>
  <c r="K481" i="1"/>
  <c r="K440" i="1"/>
  <c r="K446" i="1"/>
  <c r="K433" i="1"/>
  <c r="K360" i="1"/>
  <c r="K373" i="1"/>
  <c r="K366" i="1"/>
  <c r="K393" i="1"/>
  <c r="K380" i="1"/>
  <c r="K405" i="1"/>
  <c r="K334" i="1"/>
  <c r="K284" i="1"/>
  <c r="K311" i="1"/>
  <c r="K307" i="1"/>
  <c r="K179" i="1"/>
  <c r="K235" i="1"/>
  <c r="K156" i="1" l="1"/>
  <c r="K148" i="1"/>
  <c r="K149" i="1"/>
  <c r="K147" i="1"/>
  <c r="K146" i="1"/>
  <c r="K134" i="1"/>
  <c r="K119" i="1"/>
  <c r="K111" i="1"/>
  <c r="K102" i="1"/>
  <c r="K101" i="1"/>
  <c r="K155" i="1"/>
  <c r="K136" i="1"/>
  <c r="K135" i="1"/>
  <c r="K121" i="1"/>
  <c r="K120" i="1"/>
  <c r="K145" i="1"/>
  <c r="K133" i="1"/>
  <c r="H133" i="1"/>
  <c r="K110" i="1"/>
  <c r="K104" i="1"/>
  <c r="K103" i="1"/>
  <c r="K109" i="1"/>
  <c r="K98" i="1" l="1"/>
  <c r="K132" i="1"/>
  <c r="K154" i="1"/>
  <c r="K131" i="1"/>
  <c r="K144" i="1"/>
  <c r="K143" i="1"/>
  <c r="K130" i="1"/>
  <c r="K129" i="1"/>
  <c r="K118" i="1"/>
  <c r="K153" i="1"/>
  <c r="K152" i="1"/>
  <c r="K142" i="1"/>
  <c r="K141" i="1"/>
  <c r="K140" i="1"/>
  <c r="H140" i="1"/>
  <c r="K139" i="1"/>
  <c r="K128" i="1"/>
  <c r="K127" i="1"/>
  <c r="K126" i="1"/>
  <c r="K125" i="1"/>
  <c r="K124" i="1"/>
  <c r="K117" i="1"/>
  <c r="K116" i="1"/>
  <c r="K115" i="1"/>
  <c r="K108" i="1"/>
  <c r="K105" i="1" s="1"/>
  <c r="H164" i="1"/>
  <c r="I163" i="1"/>
  <c r="H162" i="1"/>
  <c r="I161" i="1"/>
  <c r="I167" i="1"/>
  <c r="K137" i="1" l="1"/>
  <c r="K150" i="1"/>
  <c r="K122" i="1"/>
  <c r="K113" i="1"/>
  <c r="K78" i="1"/>
  <c r="K71" i="1"/>
  <c r="K70" i="1"/>
  <c r="K69" i="1"/>
  <c r="K60" i="1"/>
  <c r="K59" i="1"/>
  <c r="H60" i="1"/>
  <c r="H59" i="1"/>
  <c r="K77" i="1"/>
  <c r="K58" i="1"/>
  <c r="K57" i="1"/>
  <c r="K56" i="1"/>
  <c r="K55" i="1"/>
  <c r="K43" i="1"/>
  <c r="K41" i="1"/>
  <c r="K54" i="1"/>
  <c r="K52" i="1"/>
  <c r="K42" i="1"/>
  <c r="K68" i="1"/>
  <c r="K67" i="1"/>
  <c r="K53" i="1"/>
  <c r="K51" i="1"/>
  <c r="K39" i="1"/>
  <c r="K40" i="1"/>
  <c r="K75" i="1"/>
  <c r="K74" i="1"/>
  <c r="K66" i="1"/>
  <c r="K65" i="1"/>
  <c r="K64" i="1"/>
  <c r="K63" i="1"/>
  <c r="H63" i="1"/>
  <c r="K50" i="1"/>
  <c r="K49" i="1"/>
  <c r="H49" i="1"/>
  <c r="K48" i="1"/>
  <c r="K47" i="1"/>
  <c r="K46" i="1"/>
  <c r="K38" i="1"/>
  <c r="K37" i="1"/>
  <c r="K27" i="1"/>
  <c r="K26" i="1"/>
  <c r="K33" i="1"/>
  <c r="K28" i="1"/>
  <c r="K32" i="1"/>
  <c r="K72" i="1" l="1"/>
  <c r="K35" i="1"/>
  <c r="K29" i="1"/>
  <c r="K23" i="1"/>
  <c r="K44" i="1"/>
  <c r="K61" i="1"/>
  <c r="I89" i="1" l="1"/>
  <c r="I85" i="1"/>
  <c r="I83" i="1"/>
  <c r="I665" i="1" l="1"/>
  <c r="I646" i="1"/>
  <c r="I628" i="1"/>
  <c r="I499" i="1"/>
  <c r="I424" i="1"/>
  <c r="H249" i="1"/>
  <c r="I248" i="1"/>
  <c r="H220" i="1"/>
  <c r="I219" i="1"/>
  <c r="H76" i="1"/>
  <c r="H68" i="1"/>
  <c r="H57" i="1"/>
  <c r="H54" i="1"/>
  <c r="E558" i="1"/>
  <c r="E540" i="1"/>
  <c r="H680" i="1" l="1"/>
  <c r="I674" i="1"/>
  <c r="I670" i="1"/>
  <c r="K673" i="1"/>
  <c r="K670" i="1" s="1"/>
  <c r="E689" i="1"/>
  <c r="H689" i="1" s="1"/>
  <c r="E688" i="1"/>
  <c r="H688" i="1" s="1"/>
  <c r="I687" i="1"/>
  <c r="H686" i="1"/>
  <c r="H685" i="1"/>
  <c r="H684" i="1"/>
  <c r="H683" i="1"/>
  <c r="E681" i="1"/>
  <c r="E682" i="1" s="1"/>
  <c r="H682" i="1" s="1"/>
  <c r="H679" i="1"/>
  <c r="H678" i="1"/>
  <c r="H677" i="1"/>
  <c r="H676" i="1"/>
  <c r="H673" i="1"/>
  <c r="H672" i="1"/>
  <c r="H669" i="1"/>
  <c r="I668" i="1"/>
  <c r="H667" i="1"/>
  <c r="I666" i="1"/>
  <c r="H664" i="1"/>
  <c r="H663" i="1"/>
  <c r="I662" i="1"/>
  <c r="H659" i="1"/>
  <c r="H658" i="1"/>
  <c r="I657" i="1"/>
  <c r="E656" i="1"/>
  <c r="H656" i="1" s="1"/>
  <c r="E655" i="1"/>
  <c r="H655" i="1" s="1"/>
  <c r="I654" i="1"/>
  <c r="H653" i="1"/>
  <c r="H652" i="1"/>
  <c r="H651" i="1"/>
  <c r="H650" i="1"/>
  <c r="H649" i="1"/>
  <c r="E648" i="1"/>
  <c r="H648" i="1" s="1"/>
  <c r="H645" i="1"/>
  <c r="H644" i="1"/>
  <c r="I643" i="1"/>
  <c r="E640" i="1"/>
  <c r="H640" i="1" s="1"/>
  <c r="E639" i="1"/>
  <c r="H639" i="1" s="1"/>
  <c r="I638" i="1"/>
  <c r="H637" i="1"/>
  <c r="H636" i="1"/>
  <c r="I635" i="1"/>
  <c r="H634" i="1"/>
  <c r="H633" i="1"/>
  <c r="H632" i="1"/>
  <c r="H631" i="1"/>
  <c r="E629" i="1"/>
  <c r="E630" i="1" s="1"/>
  <c r="H630" i="1" s="1"/>
  <c r="H627" i="1"/>
  <c r="H626" i="1"/>
  <c r="I625" i="1"/>
  <c r="K617" i="1"/>
  <c r="E619" i="1"/>
  <c r="H619" i="1" s="1"/>
  <c r="E618" i="1"/>
  <c r="H618" i="1" s="1"/>
  <c r="I617" i="1"/>
  <c r="H616" i="1"/>
  <c r="H615" i="1"/>
  <c r="I614" i="1"/>
  <c r="H613" i="1"/>
  <c r="H612" i="1"/>
  <c r="I611" i="1"/>
  <c r="H610" i="1"/>
  <c r="I609" i="1"/>
  <c r="H608" i="1"/>
  <c r="I607" i="1"/>
  <c r="H606" i="1"/>
  <c r="H605" i="1"/>
  <c r="E603" i="1"/>
  <c r="H603" i="1" s="1"/>
  <c r="I602" i="1"/>
  <c r="H595" i="1"/>
  <c r="H594" i="1"/>
  <c r="H601" i="1"/>
  <c r="H600" i="1"/>
  <c r="I599" i="1"/>
  <c r="I590" i="1"/>
  <c r="E579" i="1"/>
  <c r="H579" i="1" s="1"/>
  <c r="K589" i="1"/>
  <c r="H587" i="1"/>
  <c r="H596" i="1"/>
  <c r="H588" i="1"/>
  <c r="H589" i="1"/>
  <c r="E586" i="1"/>
  <c r="H598" i="1"/>
  <c r="E585" i="1"/>
  <c r="H597" i="1"/>
  <c r="E584" i="1"/>
  <c r="E583" i="1"/>
  <c r="H593" i="1"/>
  <c r="H592" i="1"/>
  <c r="H581" i="1"/>
  <c r="H582" i="1"/>
  <c r="H580" i="1"/>
  <c r="E571" i="1"/>
  <c r="H571" i="1" s="1"/>
  <c r="E570" i="1"/>
  <c r="H570" i="1" s="1"/>
  <c r="I569" i="1"/>
  <c r="H575" i="1"/>
  <c r="I574" i="1"/>
  <c r="H573" i="1"/>
  <c r="I572" i="1"/>
  <c r="H565" i="1"/>
  <c r="H568" i="1"/>
  <c r="H567" i="1"/>
  <c r="I566" i="1"/>
  <c r="E560" i="1"/>
  <c r="E561" i="1" s="1"/>
  <c r="H561" i="1" s="1"/>
  <c r="H564" i="1"/>
  <c r="H563" i="1"/>
  <c r="H562" i="1"/>
  <c r="H559" i="1"/>
  <c r="H558" i="1"/>
  <c r="I557" i="1"/>
  <c r="H554" i="1"/>
  <c r="I553" i="1"/>
  <c r="H552" i="1"/>
  <c r="H551" i="1"/>
  <c r="I550" i="1"/>
  <c r="H549" i="1"/>
  <c r="E548" i="1"/>
  <c r="H548" i="1" s="1"/>
  <c r="H543" i="1"/>
  <c r="I542" i="1"/>
  <c r="H541" i="1"/>
  <c r="H540" i="1"/>
  <c r="I539" i="1"/>
  <c r="H538" i="1"/>
  <c r="H537" i="1"/>
  <c r="I536" i="1"/>
  <c r="H583" i="1" l="1"/>
  <c r="K583" i="1"/>
  <c r="H585" i="1"/>
  <c r="K585" i="1"/>
  <c r="H584" i="1"/>
  <c r="K584" i="1"/>
  <c r="H586" i="1"/>
  <c r="K586" i="1"/>
  <c r="H660" i="1"/>
  <c r="H576" i="1"/>
  <c r="H555" i="1"/>
  <c r="H641" i="1"/>
  <c r="I647" i="1"/>
  <c r="I660" i="1" s="1"/>
  <c r="I578" i="1"/>
  <c r="I620" i="1" s="1"/>
  <c r="I681" i="1"/>
  <c r="I690" i="1" s="1"/>
  <c r="E675" i="1"/>
  <c r="H675" i="1" s="1"/>
  <c r="E671" i="1"/>
  <c r="H671" i="1" s="1"/>
  <c r="I629" i="1"/>
  <c r="I641" i="1" s="1"/>
  <c r="E591" i="1"/>
  <c r="H591" i="1" s="1"/>
  <c r="I560" i="1"/>
  <c r="I576" i="1" s="1"/>
  <c r="I547" i="1"/>
  <c r="I555" i="1" s="1"/>
  <c r="H544" i="1"/>
  <c r="H535" i="1"/>
  <c r="H534" i="1"/>
  <c r="E533" i="1"/>
  <c r="H533" i="1" s="1"/>
  <c r="H527" i="1"/>
  <c r="I525" i="1"/>
  <c r="E512" i="1"/>
  <c r="H512" i="1" s="1"/>
  <c r="E519" i="1"/>
  <c r="H519" i="1" s="1"/>
  <c r="E518" i="1"/>
  <c r="H518" i="1" s="1"/>
  <c r="I517" i="1"/>
  <c r="H516" i="1"/>
  <c r="H515" i="1"/>
  <c r="H514" i="1"/>
  <c r="H513" i="1"/>
  <c r="H510" i="1"/>
  <c r="H509" i="1"/>
  <c r="I508" i="1"/>
  <c r="H505" i="1"/>
  <c r="H504" i="1"/>
  <c r="I503" i="1"/>
  <c r="E502" i="1"/>
  <c r="H502" i="1" s="1"/>
  <c r="E501" i="1"/>
  <c r="H501" i="1" s="1"/>
  <c r="I500" i="1"/>
  <c r="H498" i="1"/>
  <c r="I497" i="1"/>
  <c r="H496" i="1"/>
  <c r="H494" i="1"/>
  <c r="H491" i="1"/>
  <c r="H490" i="1"/>
  <c r="H489" i="1"/>
  <c r="I488" i="1"/>
  <c r="H487" i="1"/>
  <c r="H486" i="1"/>
  <c r="H485" i="1"/>
  <c r="H484" i="1"/>
  <c r="H483" i="1"/>
  <c r="E482" i="1"/>
  <c r="H482" i="1" s="1"/>
  <c r="I481" i="1"/>
  <c r="H477" i="1"/>
  <c r="K476" i="1"/>
  <c r="K472" i="1" s="1"/>
  <c r="H474" i="1"/>
  <c r="H480" i="1"/>
  <c r="H479" i="1"/>
  <c r="H478" i="1"/>
  <c r="H476" i="1"/>
  <c r="H475" i="1"/>
  <c r="I472" i="1"/>
  <c r="H468" i="1"/>
  <c r="H465" i="1"/>
  <c r="H464" i="1"/>
  <c r="H459" i="1"/>
  <c r="H457" i="1"/>
  <c r="H456" i="1"/>
  <c r="I453" i="1"/>
  <c r="H470" i="1"/>
  <c r="H467" i="1"/>
  <c r="H466" i="1"/>
  <c r="H463" i="1"/>
  <c r="H458" i="1"/>
  <c r="H455" i="1"/>
  <c r="E447" i="1"/>
  <c r="H447" i="1" s="1"/>
  <c r="H452" i="1"/>
  <c r="H451" i="1"/>
  <c r="H450" i="1"/>
  <c r="H449" i="1"/>
  <c r="H448" i="1"/>
  <c r="E434" i="1"/>
  <c r="H434" i="1" s="1"/>
  <c r="E441" i="1"/>
  <c r="H441" i="1" s="1"/>
  <c r="H445" i="1"/>
  <c r="H444" i="1"/>
  <c r="H443" i="1"/>
  <c r="H442" i="1"/>
  <c r="H439" i="1"/>
  <c r="H438" i="1"/>
  <c r="H436" i="1"/>
  <c r="H435" i="1"/>
  <c r="H620" i="1" l="1"/>
  <c r="K578" i="1"/>
  <c r="K453" i="1"/>
  <c r="H690" i="1"/>
  <c r="I715" i="1" s="1"/>
  <c r="H520" i="1"/>
  <c r="I532" i="1"/>
  <c r="I545" i="1" s="1"/>
  <c r="I621" i="1" s="1"/>
  <c r="E526" i="1"/>
  <c r="H526" i="1" s="1"/>
  <c r="H545" i="1" s="1"/>
  <c r="H621" i="1" s="1"/>
  <c r="I511" i="1"/>
  <c r="I520" i="1" s="1"/>
  <c r="E473" i="1"/>
  <c r="H473" i="1" s="1"/>
  <c r="E454" i="1"/>
  <c r="H454" i="1" s="1"/>
  <c r="I446" i="1"/>
  <c r="I433" i="1"/>
  <c r="I440" i="1"/>
  <c r="H423" i="1"/>
  <c r="I422" i="1"/>
  <c r="H421" i="1"/>
  <c r="H419" i="1"/>
  <c r="H417" i="1"/>
  <c r="I416" i="1"/>
  <c r="H414" i="1"/>
  <c r="H413" i="1"/>
  <c r="I412" i="1"/>
  <c r="H430" i="1"/>
  <c r="H429" i="1"/>
  <c r="I428" i="1"/>
  <c r="E427" i="1"/>
  <c r="H427" i="1" s="1"/>
  <c r="E426" i="1"/>
  <c r="H426" i="1" s="1"/>
  <c r="I425" i="1"/>
  <c r="H404" i="1"/>
  <c r="H403" i="1"/>
  <c r="E406" i="1"/>
  <c r="H406" i="1" s="1"/>
  <c r="H411" i="1"/>
  <c r="H410" i="1"/>
  <c r="H409" i="1"/>
  <c r="H408" i="1"/>
  <c r="H407" i="1"/>
  <c r="H506" i="1" l="1"/>
  <c r="I622" i="1"/>
  <c r="I506" i="1"/>
  <c r="I405" i="1"/>
  <c r="E394" i="1"/>
  <c r="H394" i="1" s="1"/>
  <c r="H400" i="1"/>
  <c r="H401" i="1"/>
  <c r="H398" i="1"/>
  <c r="H397" i="1"/>
  <c r="H396" i="1"/>
  <c r="H395" i="1"/>
  <c r="I380" i="1"/>
  <c r="H392" i="1"/>
  <c r="H390" i="1"/>
  <c r="H387" i="1"/>
  <c r="H386" i="1"/>
  <c r="H384" i="1"/>
  <c r="H382" i="1"/>
  <c r="I393" i="1" l="1"/>
  <c r="E381" i="1"/>
  <c r="H381" i="1" s="1"/>
  <c r="E374" i="1"/>
  <c r="H374" i="1" s="1"/>
  <c r="H379" i="1"/>
  <c r="H378" i="1"/>
  <c r="H377" i="1"/>
  <c r="H376" i="1"/>
  <c r="H375" i="1"/>
  <c r="E367" i="1"/>
  <c r="H367" i="1" s="1"/>
  <c r="E361" i="1"/>
  <c r="H361" i="1" s="1"/>
  <c r="H372" i="1"/>
  <c r="H370" i="1"/>
  <c r="H369" i="1"/>
  <c r="H368" i="1"/>
  <c r="H365" i="1"/>
  <c r="H364" i="1"/>
  <c r="H363" i="1"/>
  <c r="H362" i="1"/>
  <c r="H431" i="1" l="1"/>
  <c r="I373" i="1"/>
  <c r="I360" i="1"/>
  <c r="I366" i="1"/>
  <c r="H357" i="1"/>
  <c r="H358" i="1" s="1"/>
  <c r="I356" i="1"/>
  <c r="I358" i="1" s="1"/>
  <c r="E349" i="1"/>
  <c r="H349" i="1" s="1"/>
  <c r="E348" i="1"/>
  <c r="H348" i="1" s="1"/>
  <c r="I347" i="1"/>
  <c r="H346" i="1"/>
  <c r="I345" i="1"/>
  <c r="E335" i="1"/>
  <c r="H335" i="1" s="1"/>
  <c r="H341" i="1"/>
  <c r="H340" i="1"/>
  <c r="H339" i="1"/>
  <c r="H338" i="1"/>
  <c r="H344" i="1"/>
  <c r="E343" i="1"/>
  <c r="H343" i="1" s="1"/>
  <c r="H337" i="1"/>
  <c r="H336" i="1"/>
  <c r="H332" i="1"/>
  <c r="I331" i="1"/>
  <c r="H330" i="1"/>
  <c r="I329" i="1"/>
  <c r="E326" i="1"/>
  <c r="H326" i="1" s="1"/>
  <c r="E325" i="1"/>
  <c r="H325" i="1" s="1"/>
  <c r="I324" i="1"/>
  <c r="H323" i="1"/>
  <c r="H320" i="1"/>
  <c r="H321" i="1"/>
  <c r="H322" i="1"/>
  <c r="E318" i="1"/>
  <c r="I318" i="1" s="1"/>
  <c r="E312" i="1"/>
  <c r="H312" i="1" s="1"/>
  <c r="H316" i="1"/>
  <c r="H315" i="1"/>
  <c r="H314" i="1"/>
  <c r="H313" i="1"/>
  <c r="I307" i="1"/>
  <c r="H310" i="1"/>
  <c r="H309" i="1"/>
  <c r="H306" i="1"/>
  <c r="I305" i="1"/>
  <c r="H304" i="1"/>
  <c r="I303" i="1"/>
  <c r="H301" i="1"/>
  <c r="H300" i="1"/>
  <c r="I299" i="1"/>
  <c r="H296" i="1"/>
  <c r="H295" i="1"/>
  <c r="I294" i="1"/>
  <c r="I291" i="1"/>
  <c r="E292" i="1"/>
  <c r="H292" i="1" s="1"/>
  <c r="E293" i="1"/>
  <c r="H293" i="1" s="1"/>
  <c r="I284" i="1"/>
  <c r="H290" i="1"/>
  <c r="H289" i="1"/>
  <c r="H288" i="1"/>
  <c r="H287" i="1"/>
  <c r="H286" i="1"/>
  <c r="H282" i="1"/>
  <c r="H281" i="1"/>
  <c r="I280" i="1"/>
  <c r="I275" i="1"/>
  <c r="E277" i="1"/>
  <c r="H277" i="1" s="1"/>
  <c r="E276" i="1"/>
  <c r="H276" i="1" s="1"/>
  <c r="H274" i="1"/>
  <c r="H273" i="1"/>
  <c r="I272" i="1"/>
  <c r="H270" i="1"/>
  <c r="H271" i="1"/>
  <c r="E266" i="1"/>
  <c r="E267" i="1" s="1"/>
  <c r="H267" i="1" s="1"/>
  <c r="H269" i="1"/>
  <c r="H268" i="1"/>
  <c r="H264" i="1"/>
  <c r="H263" i="1"/>
  <c r="I262" i="1"/>
  <c r="H521" i="1" l="1"/>
  <c r="I431" i="1"/>
  <c r="I521" i="1" s="1"/>
  <c r="H350" i="1"/>
  <c r="I297" i="1"/>
  <c r="H278" i="1"/>
  <c r="E319" i="1"/>
  <c r="H319" i="1" s="1"/>
  <c r="E285" i="1"/>
  <c r="H285" i="1" s="1"/>
  <c r="H297" i="1" s="1"/>
  <c r="I342" i="1"/>
  <c r="I334" i="1"/>
  <c r="I311" i="1"/>
  <c r="I327" i="1" s="1"/>
  <c r="E308" i="1"/>
  <c r="H308" i="1" s="1"/>
  <c r="I266" i="1"/>
  <c r="I278" i="1" s="1"/>
  <c r="H208" i="1"/>
  <c r="I522" i="1" l="1"/>
  <c r="I350" i="1"/>
  <c r="I351" i="1" s="1"/>
  <c r="H327" i="1"/>
  <c r="H351" i="1" s="1"/>
  <c r="H256" i="1"/>
  <c r="I255" i="1"/>
  <c r="H254" i="1"/>
  <c r="I253" i="1"/>
  <c r="E252" i="1"/>
  <c r="H252" i="1" s="1"/>
  <c r="H251" i="1"/>
  <c r="I250" i="1"/>
  <c r="H247" i="1"/>
  <c r="H245" i="1"/>
  <c r="I244" i="1"/>
  <c r="H243" i="1"/>
  <c r="I242" i="1"/>
  <c r="H241" i="1"/>
  <c r="I240" i="1"/>
  <c r="H237" i="1"/>
  <c r="H230" i="1"/>
  <c r="E233" i="1"/>
  <c r="H234" i="1"/>
  <c r="E232" i="1"/>
  <c r="E231" i="1"/>
  <c r="H233" i="1" l="1"/>
  <c r="K233" i="1"/>
  <c r="H231" i="1"/>
  <c r="K231" i="1"/>
  <c r="H232" i="1"/>
  <c r="K232" i="1"/>
  <c r="I352" i="1"/>
  <c r="I235" i="1"/>
  <c r="E236" i="1"/>
  <c r="H236" i="1" s="1"/>
  <c r="I228" i="1"/>
  <c r="E229" i="1"/>
  <c r="H229" i="1" s="1"/>
  <c r="E223" i="1"/>
  <c r="H223" i="1" s="1"/>
  <c r="E222" i="1"/>
  <c r="H222" i="1" s="1"/>
  <c r="I221" i="1"/>
  <c r="K228" i="1" l="1"/>
  <c r="I257" i="1"/>
  <c r="H257" i="1"/>
  <c r="I224" i="1"/>
  <c r="H225" i="1"/>
  <c r="E213" i="1"/>
  <c r="E214" i="1" s="1"/>
  <c r="H214" i="1" s="1"/>
  <c r="H216" i="1"/>
  <c r="H217" i="1"/>
  <c r="H218" i="1"/>
  <c r="H215" i="1"/>
  <c r="I209" i="1"/>
  <c r="H210" i="1"/>
  <c r="H207" i="1"/>
  <c r="I206" i="1"/>
  <c r="E205" i="1"/>
  <c r="H205" i="1" s="1"/>
  <c r="E204" i="1"/>
  <c r="H204" i="1" s="1"/>
  <c r="H200" i="1"/>
  <c r="H198" i="1"/>
  <c r="I197" i="1"/>
  <c r="H196" i="1"/>
  <c r="E195" i="1"/>
  <c r="H195" i="1" s="1"/>
  <c r="H226" i="1" l="1"/>
  <c r="H201" i="1"/>
  <c r="H211" i="1"/>
  <c r="I203" i="1"/>
  <c r="I211" i="1" s="1"/>
  <c r="I213" i="1"/>
  <c r="I226" i="1" s="1"/>
  <c r="I194" i="1"/>
  <c r="I201" i="1" s="1"/>
  <c r="H20" i="1"/>
  <c r="H21" i="1" s="1"/>
  <c r="I19" i="1"/>
  <c r="I21" i="1" s="1"/>
  <c r="I186" i="1"/>
  <c r="E188" i="1"/>
  <c r="H188" i="1" s="1"/>
  <c r="E187" i="1"/>
  <c r="H187" i="1" s="1"/>
  <c r="E92" i="1"/>
  <c r="E91" i="1"/>
  <c r="E170" i="1"/>
  <c r="E169" i="1"/>
  <c r="I258" i="1" l="1"/>
  <c r="H258" i="1"/>
  <c r="H184" i="1"/>
  <c r="H183" i="1"/>
  <c r="H185" i="1"/>
  <c r="I259" i="1" l="1"/>
  <c r="H182" i="1"/>
  <c r="E180" i="1"/>
  <c r="H180" i="1" s="1"/>
  <c r="I179" i="1"/>
  <c r="H181" i="1"/>
  <c r="H178" i="1"/>
  <c r="H177" i="1"/>
  <c r="I176" i="1"/>
  <c r="H173" i="1"/>
  <c r="H172" i="1"/>
  <c r="I171" i="1"/>
  <c r="H170" i="1"/>
  <c r="H169" i="1"/>
  <c r="I168" i="1"/>
  <c r="H95" i="1"/>
  <c r="H94" i="1"/>
  <c r="I93" i="1"/>
  <c r="H92" i="1"/>
  <c r="H91" i="1"/>
  <c r="I90" i="1"/>
  <c r="I150" i="1"/>
  <c r="H155" i="1"/>
  <c r="H154" i="1"/>
  <c r="E138" i="1"/>
  <c r="H138" i="1" s="1"/>
  <c r="H149" i="1"/>
  <c r="H148" i="1"/>
  <c r="H144" i="1"/>
  <c r="I122" i="1"/>
  <c r="H132" i="1"/>
  <c r="H130" i="1"/>
  <c r="H128" i="1"/>
  <c r="I113" i="1"/>
  <c r="H117" i="1"/>
  <c r="E106" i="1"/>
  <c r="H106" i="1" s="1"/>
  <c r="H111" i="1"/>
  <c r="H109" i="1"/>
  <c r="I98" i="1"/>
  <c r="H166" i="1"/>
  <c r="I165" i="1"/>
  <c r="H160" i="1"/>
  <c r="H159" i="1"/>
  <c r="H158" i="1"/>
  <c r="I157" i="1"/>
  <c r="H156" i="1"/>
  <c r="H153" i="1"/>
  <c r="H152" i="1"/>
  <c r="H147" i="1"/>
  <c r="H146" i="1"/>
  <c r="H145" i="1"/>
  <c r="H143" i="1"/>
  <c r="H142" i="1"/>
  <c r="H141" i="1"/>
  <c r="H139" i="1"/>
  <c r="H136" i="1"/>
  <c r="H135" i="1"/>
  <c r="H134" i="1"/>
  <c r="H131" i="1"/>
  <c r="H129" i="1"/>
  <c r="H127" i="1"/>
  <c r="H126" i="1"/>
  <c r="H125" i="1"/>
  <c r="H124" i="1"/>
  <c r="H121" i="1"/>
  <c r="H120" i="1"/>
  <c r="H119" i="1"/>
  <c r="H118" i="1"/>
  <c r="H116" i="1"/>
  <c r="H115" i="1"/>
  <c r="H112" i="1"/>
  <c r="H110" i="1"/>
  <c r="H108" i="1"/>
  <c r="H107" i="1"/>
  <c r="H104" i="1"/>
  <c r="H103" i="1"/>
  <c r="H102" i="1"/>
  <c r="H101" i="1"/>
  <c r="H100" i="1"/>
  <c r="H88" i="1"/>
  <c r="I87" i="1"/>
  <c r="I189" i="1" l="1"/>
  <c r="H189" i="1"/>
  <c r="E151" i="1"/>
  <c r="H151" i="1" s="1"/>
  <c r="I137" i="1"/>
  <c r="E114" i="1"/>
  <c r="H114" i="1" s="1"/>
  <c r="I105" i="1"/>
  <c r="E99" i="1"/>
  <c r="H99" i="1" s="1"/>
  <c r="H123" i="1"/>
  <c r="H82" i="1"/>
  <c r="H84" i="1"/>
  <c r="H86" i="1"/>
  <c r="H81" i="1"/>
  <c r="H80" i="1"/>
  <c r="I79" i="1"/>
  <c r="H78" i="1"/>
  <c r="I72" i="1"/>
  <c r="H77" i="1"/>
  <c r="H75" i="1"/>
  <c r="H74" i="1"/>
  <c r="I61" i="1"/>
  <c r="H70" i="1"/>
  <c r="H64" i="1"/>
  <c r="H65" i="1"/>
  <c r="H66" i="1"/>
  <c r="H67" i="1"/>
  <c r="H69" i="1"/>
  <c r="H71" i="1"/>
  <c r="E45" i="1"/>
  <c r="H45" i="1" s="1"/>
  <c r="H58" i="1"/>
  <c r="H56" i="1"/>
  <c r="H55" i="1"/>
  <c r="H53" i="1"/>
  <c r="H52" i="1"/>
  <c r="H51" i="1"/>
  <c r="H26" i="1"/>
  <c r="H27" i="1"/>
  <c r="I35" i="1"/>
  <c r="H42" i="1"/>
  <c r="H50" i="1"/>
  <c r="H48" i="1"/>
  <c r="H47" i="1"/>
  <c r="H46" i="1"/>
  <c r="H43" i="1"/>
  <c r="H41" i="1"/>
  <c r="H40" i="1"/>
  <c r="H39" i="1"/>
  <c r="H38" i="1"/>
  <c r="H37" i="1"/>
  <c r="H33" i="1"/>
  <c r="H32" i="1"/>
  <c r="H174" i="1" l="1"/>
  <c r="I174" i="1"/>
  <c r="E73" i="1"/>
  <c r="H73" i="1" s="1"/>
  <c r="E62" i="1"/>
  <c r="H62" i="1" s="1"/>
  <c r="I44" i="1"/>
  <c r="E36" i="1"/>
  <c r="H36" i="1" s="1"/>
  <c r="H34" i="1"/>
  <c r="H31" i="1"/>
  <c r="I29" i="1"/>
  <c r="H28" i="1"/>
  <c r="H25" i="1"/>
  <c r="I23" i="1"/>
  <c r="I96" i="1" l="1"/>
  <c r="I190" i="1" s="1"/>
  <c r="E30" i="1" l="1"/>
  <c r="H30" i="1" s="1"/>
  <c r="E24" i="1"/>
  <c r="H24" i="1" s="1"/>
  <c r="H96" i="1" l="1"/>
  <c r="H190" i="1" s="1"/>
  <c r="I191" i="1" s="1"/>
  <c r="I353" i="1" l="1"/>
</calcChain>
</file>

<file path=xl/sharedStrings.xml><?xml version="1.0" encoding="utf-8"?>
<sst xmlns="http://schemas.openxmlformats.org/spreadsheetml/2006/main" count="2678" uniqueCount="609">
  <si>
    <t>Приложение № 1</t>
  </si>
  <si>
    <t>№ п/п</t>
  </si>
  <si>
    <t>Наименование работ, затрат</t>
  </si>
  <si>
    <t>Ед. изм.</t>
  </si>
  <si>
    <t>Кол-во</t>
  </si>
  <si>
    <t>Стоимость на ед.изм., руб.</t>
  </si>
  <si>
    <t>Общая стоимость, руб.</t>
  </si>
  <si>
    <t>СМР</t>
  </si>
  <si>
    <t>материалы</t>
  </si>
  <si>
    <t>Договорная цена</t>
  </si>
  <si>
    <t>Установка вентиляторов осевых массой: до 0,025 т</t>
  </si>
  <si>
    <t>1 вентилятор</t>
  </si>
  <si>
    <t>1.1</t>
  </si>
  <si>
    <t>цена поставки</t>
  </si>
  <si>
    <t>шт</t>
  </si>
  <si>
    <t>1.2</t>
  </si>
  <si>
    <t>2</t>
  </si>
  <si>
    <t>2.1</t>
  </si>
  <si>
    <t>2.2</t>
  </si>
  <si>
    <t>3</t>
  </si>
  <si>
    <t>Вентилятор</t>
  </si>
  <si>
    <t>3.1</t>
  </si>
  <si>
    <t>3.2</t>
  </si>
  <si>
    <t>4</t>
  </si>
  <si>
    <t>4.1</t>
  </si>
  <si>
    <t>Установка вентиляторов крышных массой: до 0,1 т</t>
  </si>
  <si>
    <t>5.1</t>
  </si>
  <si>
    <t>5.2</t>
  </si>
  <si>
    <t>5.3</t>
  </si>
  <si>
    <t>6</t>
  </si>
  <si>
    <t>Установка вентиляторов крышных массой: до 0,2 т</t>
  </si>
  <si>
    <t>6.1</t>
  </si>
  <si>
    <t>7</t>
  </si>
  <si>
    <t>7.1</t>
  </si>
  <si>
    <t>7.2</t>
  </si>
  <si>
    <t>7.3</t>
  </si>
  <si>
    <t>8</t>
  </si>
  <si>
    <t>8.1</t>
  </si>
  <si>
    <t>кг</t>
  </si>
  <si>
    <t>9</t>
  </si>
  <si>
    <t>9.1</t>
  </si>
  <si>
    <t>9.2</t>
  </si>
  <si>
    <t>10.1</t>
  </si>
  <si>
    <t xml:space="preserve">Итого </t>
  </si>
  <si>
    <t>ИТОГО по разделу</t>
  </si>
  <si>
    <t>1</t>
  </si>
  <si>
    <t>2.3</t>
  </si>
  <si>
    <t>Установка клапанов огнезадерживающих периметром: до 1600 мм</t>
  </si>
  <si>
    <t>2.4</t>
  </si>
  <si>
    <t>2.5</t>
  </si>
  <si>
    <t>5</t>
  </si>
  <si>
    <t>Установка клапанов огнезадерживающих периметром: до 3200 мм</t>
  </si>
  <si>
    <t>Прокладка воздуховодов из листовой, оцинкованной стали и алюминия класса Н (нормальные) толщиной: 0,5 мм, диаметром до 200 мм</t>
  </si>
  <si>
    <t>м2</t>
  </si>
  <si>
    <t>Крепления для воздуховодов</t>
  </si>
  <si>
    <t>Воздуховод из оцинкованной стали б=0,5мм ø100</t>
  </si>
  <si>
    <t>п.м</t>
  </si>
  <si>
    <t>м</t>
  </si>
  <si>
    <t>3.3</t>
  </si>
  <si>
    <t>4.2</t>
  </si>
  <si>
    <t>Прокладка воздуховодов из листовой, оцинкованной стали и алюминия класса Н (нормальные) толщиной: 0,5 мм, периметром до 600 мм</t>
  </si>
  <si>
    <t>5.4</t>
  </si>
  <si>
    <t>6.2</t>
  </si>
  <si>
    <t>6.3</t>
  </si>
  <si>
    <t>6.4</t>
  </si>
  <si>
    <t>6.5</t>
  </si>
  <si>
    <t>Установка решеток жалюзийных площадью в свету: до 0,5 м2</t>
  </si>
  <si>
    <t>в том числе НДС 20%:</t>
  </si>
  <si>
    <t>11</t>
  </si>
  <si>
    <t>11.1</t>
  </si>
  <si>
    <t>11.2</t>
  </si>
  <si>
    <t>11.3</t>
  </si>
  <si>
    <t>12.1</t>
  </si>
  <si>
    <t>12.2</t>
  </si>
  <si>
    <t>12.3</t>
  </si>
  <si>
    <t>13</t>
  </si>
  <si>
    <t>13.1</t>
  </si>
  <si>
    <t>14</t>
  </si>
  <si>
    <t>14.1</t>
  </si>
  <si>
    <t>15</t>
  </si>
  <si>
    <t>15.1</t>
  </si>
  <si>
    <t>15.2</t>
  </si>
  <si>
    <t>15.3</t>
  </si>
  <si>
    <t>15.4</t>
  </si>
  <si>
    <t>15.5</t>
  </si>
  <si>
    <t>16</t>
  </si>
  <si>
    <t>16.1</t>
  </si>
  <si>
    <t>17</t>
  </si>
  <si>
    <t>17.1</t>
  </si>
  <si>
    <t>17.2</t>
  </si>
  <si>
    <t>17.3</t>
  </si>
  <si>
    <t>18</t>
  </si>
  <si>
    <t>18.1</t>
  </si>
  <si>
    <t>18.2</t>
  </si>
  <si>
    <t>18.3</t>
  </si>
  <si>
    <t>19</t>
  </si>
  <si>
    <t>19.1</t>
  </si>
  <si>
    <t>19.2</t>
  </si>
  <si>
    <t>20</t>
  </si>
  <si>
    <t>20.1</t>
  </si>
  <si>
    <t>20.2</t>
  </si>
  <si>
    <t>20.3</t>
  </si>
  <si>
    <t>20.4</t>
  </si>
  <si>
    <t>20.5</t>
  </si>
  <si>
    <t>21</t>
  </si>
  <si>
    <t>22.1</t>
  </si>
  <si>
    <t>22</t>
  </si>
  <si>
    <t>23</t>
  </si>
  <si>
    <t>23.1</t>
  </si>
  <si>
    <t>23.2</t>
  </si>
  <si>
    <t>24</t>
  </si>
  <si>
    <t>24.1</t>
  </si>
  <si>
    <t>24.2</t>
  </si>
  <si>
    <t>25</t>
  </si>
  <si>
    <t>25.1</t>
  </si>
  <si>
    <t>25.2</t>
  </si>
  <si>
    <t>26</t>
  </si>
  <si>
    <t>26.1</t>
  </si>
  <si>
    <t>26.2</t>
  </si>
  <si>
    <t>27</t>
  </si>
  <si>
    <t>27.1</t>
  </si>
  <si>
    <t>27.2</t>
  </si>
  <si>
    <t>28</t>
  </si>
  <si>
    <t>28.1</t>
  </si>
  <si>
    <t>29</t>
  </si>
  <si>
    <t>29.1</t>
  </si>
  <si>
    <t>Установка решеток жалюзийных стальных: щелевых регулирующих (Р) номер 150 размер 150х150 мм</t>
  </si>
  <si>
    <t>4.3</t>
  </si>
  <si>
    <t>21.2</t>
  </si>
  <si>
    <t>21.3</t>
  </si>
  <si>
    <t>21.4</t>
  </si>
  <si>
    <t>25.3</t>
  </si>
  <si>
    <t>25.4</t>
  </si>
  <si>
    <t>21.1</t>
  </si>
  <si>
    <t>7.4</t>
  </si>
  <si>
    <t>7.5</t>
  </si>
  <si>
    <t>Прокладка воздуховодов из листовой, оцинкованной стали и алюминия класса Н (нормальные) толщиной: 0,8 мм, диаметром до 200 мм</t>
  </si>
  <si>
    <t>Отвод круглого воздуховода 90° ⌀100-⌀100, класс герметичности A</t>
  </si>
  <si>
    <t>Воздуховод из оцинкованной стали б=0,8 мм ø100</t>
  </si>
  <si>
    <t>Ирисовый клапан регулирующий диаметром  100 мм IRD 100</t>
  </si>
  <si>
    <t>Прокладка воздуховодов из листовой, оцинкованной стали и алюминия класса Н (нормальные) толщиной: 0,9 мм, периметром 800, 1000 мм</t>
  </si>
  <si>
    <t>Врезка круглая ⌀100-⌀100, класс герметичности B</t>
  </si>
  <si>
    <t>Отвод круглого воздуховода 90° ⌀100-⌀100, класс герметичности B</t>
  </si>
  <si>
    <t>Воздуховод из тонколистовой оцинкованной стали 150x250</t>
  </si>
  <si>
    <t>Воздуховод из тонколистовой оцинкованной стали 250x150</t>
  </si>
  <si>
    <t>Врезка прямоугольная 150x250-150x250, класс герм. B</t>
  </si>
  <si>
    <t>Врезка прямоугольная 250x150-250x150, класс герм. B</t>
  </si>
  <si>
    <t>Отвод прямоугольного воздуховода 90° 150x250-150x250, класс герм. B</t>
  </si>
  <si>
    <t>Отвод прямоугольного воздуховода 90° 250x150-250x150, класс герм.B</t>
  </si>
  <si>
    <t>крепления воздуховодов</t>
  </si>
  <si>
    <t>Прокладка воздуховодов из листовой, оцинкованной стали и алюминия класса Н (нормальные) толщиной: 0,9 мм, периметром от 1100 до 1600 мм</t>
  </si>
  <si>
    <t>Воздуховод из тонколистовой оцинкованной стали 250x400</t>
  </si>
  <si>
    <t>Воздуховод из тонколистовой оцинкованной стали 250x500</t>
  </si>
  <si>
    <t>Воздуховод из тонколистовой оцинкованной стали 400x250</t>
  </si>
  <si>
    <t>Воздуховод из тонколистовой оцинкованной стали 500x250</t>
  </si>
  <si>
    <t>Заглушка прямоугольная 250x150, класс герметичности B</t>
  </si>
  <si>
    <t>Переход воздуховода с круглого на прямоугольное сечение 150x150-⌀100</t>
  </si>
  <si>
    <t>Переход воздуховода с круглого на прямоугольное сечение 200x150-⌀100</t>
  </si>
  <si>
    <t>Врезка прямоугольная 400x250-400x250</t>
  </si>
  <si>
    <t>Заглушка прямоугольная 250x400</t>
  </si>
  <si>
    <t>Врезка прямоугольная 500x250-500x250</t>
  </si>
  <si>
    <t>Отвод прямоугольного воздуховода 90° 250x400-250x400</t>
  </si>
  <si>
    <t>Отвод прямоугольного воздуховода 90° 250x500-250x500</t>
  </si>
  <si>
    <t>Прокладка воздуховодов из листовой, оцинкованной стали и алюминия класса Н (нормальные) толщиной: 0,9 мм, периметром до 2400 мм</t>
  </si>
  <si>
    <t>Воздуховод из тонколистовой оцинкованной стали 600x500</t>
  </si>
  <si>
    <t>Воздуховод из тонколистовой оцинкованной стали 600x400</t>
  </si>
  <si>
    <t>Воздуховод из тонколистовой оцинкованной стали 600x600</t>
  </si>
  <si>
    <t>Прокладка воздуховодов из листовой, оцинкованной стали и алюминия класса Н (нормальные) толщиной: 0,7 и 0,9 мм, периметром до 3200 мм</t>
  </si>
  <si>
    <t>Воздуховод из тонколистовой оцинкованной стали 800x600, δ=0.7</t>
  </si>
  <si>
    <t>Воздуховод из тонколистовой оцинкованной стали 800x600, δ=0.9</t>
  </si>
  <si>
    <t>Отвод прямоугольного воздуховода 90° 600x800-600x800, толщиной 0,7</t>
  </si>
  <si>
    <t>Клапан противопожарный универсальный прямоугольный КПУ-1Н-О-250x150</t>
  </si>
  <si>
    <t>Клапан противопожарный универсальный прямоугольный КПУ-1Н-О-400x250</t>
  </si>
  <si>
    <t>Клапан противопожарный универсальный прямоугольный КПУ-1Н-О-500x250</t>
  </si>
  <si>
    <t>Договорная  цена</t>
  </si>
  <si>
    <t>Решетка с поворотными жалюзи однорядная АМН 200*150</t>
  </si>
  <si>
    <t>Решетка с поворотными жалюзи однорядна АМН 150*150</t>
  </si>
  <si>
    <t>Воздуховод из тонколистовой оцинкованной стали 250x250</t>
  </si>
  <si>
    <t>Переход прямоугольного сечения 250x250-150x250, класс герм. B</t>
  </si>
  <si>
    <t>Воздуховод из тонколистовой оцинкованной стали 250x300</t>
  </si>
  <si>
    <t>Воздуховод из тонколистовой оцинкованной стали ,300x250</t>
  </si>
  <si>
    <t>Воздуховод из тонколистовой оцинкованной стали 400x300</t>
  </si>
  <si>
    <t>Врезка прямоугольная 300x250-300x250</t>
  </si>
  <si>
    <t>Заглушка прямоугольная 250x300</t>
  </si>
  <si>
    <t>Отвод прямоугольного воздуховода 90° 250x300-250x300</t>
  </si>
  <si>
    <t>Воздуховод из тонколистовой оцинкованной стали 500x400</t>
  </si>
  <si>
    <t xml:space="preserve">Врезка прямоугольная 500x600-500x600, </t>
  </si>
  <si>
    <t>Переход прямоугольного сечения 600x500-600x400</t>
  </si>
  <si>
    <t>Заглушка прямоугольная 800x600, δ=0.9</t>
  </si>
  <si>
    <t>Клапан противопожарный универсальный прямоугольный КПУ-1Н-О-300x250</t>
  </si>
  <si>
    <t>Устройство защитных конструций воздуховодов</t>
  </si>
  <si>
    <t>Гибкий материал из вспененного каучука, толщина 25 мм</t>
  </si>
  <si>
    <t>Гибкий покровный материал из стеклоткани с покрытием из алюминиевой фольги, самоклеющийся</t>
  </si>
  <si>
    <t>Вентилятор вытяжной бытовой ECOAIR DESIGN ECOWATT</t>
  </si>
  <si>
    <t>Решетка наружная круглая РКМ100</t>
  </si>
  <si>
    <t>Воздуховод из тонколистовой оцинкованной стали ⌀100, δ=0.5</t>
  </si>
  <si>
    <t>Воздуховод из тонколистовой оцинкованной стали ⌀100, δ=0.8</t>
  </si>
  <si>
    <t>Отвод круглого воздуховода 45° ⌀100-⌀100, класс герметичности B</t>
  </si>
  <si>
    <t>Огнезащитный материал МБОР -5Ф</t>
  </si>
  <si>
    <t>Клеящая смесь "Плазас"</t>
  </si>
  <si>
    <t>Изоляция воздуховодов и их креплений огнезащитными материалами: 30 мин; 1 слой 5 мм</t>
  </si>
  <si>
    <t>Установка оконных приточных клапанов</t>
  </si>
  <si>
    <t>Оконный приточный клапан Air-Box Comfort</t>
  </si>
  <si>
    <t>Раздел №1</t>
  </si>
  <si>
    <t>Раздел №5</t>
  </si>
  <si>
    <t>Воздуховод из тонколистовой оцинкованной стали 400x150</t>
  </si>
  <si>
    <t>Прокладка воздуховодов из листовой, оцинкованной стали и алюминия класса Н (нормальные) толщиной: 0,7 мм, периметром от 1100 до 1600 мм</t>
  </si>
  <si>
    <t>Наружная решетка АРН 400х150</t>
  </si>
  <si>
    <t>Решетка с поворотными жалюзи двухрядная с регулятором расхода АДР 400х150</t>
  </si>
  <si>
    <t>ПЕ1.1 и ПЕ1.2</t>
  </si>
  <si>
    <t>П1.1 и П1.2</t>
  </si>
  <si>
    <t>Приточные и вытяжные установки секции</t>
  </si>
  <si>
    <t>Монтаж приточной установки мощностью 20-100м3/час</t>
  </si>
  <si>
    <t>Приточное устройство Tion Бризер Lite</t>
  </si>
  <si>
    <t>Решетка наружная круглая РНК-125</t>
  </si>
  <si>
    <t>Изоляция воздуховодов изделиями из вспененного каучука</t>
  </si>
  <si>
    <t>ВЕ1.1</t>
  </si>
  <si>
    <t>Воздуховод из тонколистовой оцинкованной стали 300x300, δ=0.7</t>
  </si>
  <si>
    <t>Воздуховод из тонколистовой оцинкованной стали 300x300, δ=0.9</t>
  </si>
  <si>
    <t>Отвод прямоугольного воздуховода 90° 300x300-300x300, класс герметичности B</t>
  </si>
  <si>
    <t>Сетка стальная защитная на воздуховод</t>
  </si>
  <si>
    <t>Клапан противопожарный универсальный прямоугольный КПУ-1Н-О-300x300</t>
  </si>
  <si>
    <t>В1.2-В1.6</t>
  </si>
  <si>
    <t>5.5</t>
  </si>
  <si>
    <t>8.2</t>
  </si>
  <si>
    <t>Врезка прямоугольная 150x100-150x100</t>
  </si>
  <si>
    <t>Заглушка круглая ⌀100</t>
  </si>
  <si>
    <t>Отвод круглого воздуховода 90° ⌀100-⌀100</t>
  </si>
  <si>
    <t>Отвод круглого воздуховода 45° ⌀100-⌀100 (0,07)</t>
  </si>
  <si>
    <t>Отвод круглого воздуховода 90° ⌀100-⌀100 (0,1)</t>
  </si>
  <si>
    <t>8.3</t>
  </si>
  <si>
    <t>Установка клапанов обратных диаметром: до 355 мм</t>
  </si>
  <si>
    <t>Канал-КОЛ-К клапан обратный для круглых каналов диаметром 100 мм</t>
  </si>
  <si>
    <t>10</t>
  </si>
  <si>
    <t>Установка клапанов огнезадерживающих диаметром: до 355 мм</t>
  </si>
  <si>
    <t>Клапан противопожарный универсальный КПУ-1Н-О</t>
  </si>
  <si>
    <t>Установка решеток вентиляционных</t>
  </si>
  <si>
    <t>Решетка наружная круглая РКМ 100</t>
  </si>
  <si>
    <t>Решетка с поворотными жалюзи однорядная, угол наклона жалюзи 0°  АМН 150x100</t>
  </si>
  <si>
    <t>12</t>
  </si>
  <si>
    <t>Установка шумоглушителя трубчатого для круглых каналов диаметр 100-600</t>
  </si>
  <si>
    <t>Канал-ГКК шумоглушитель канальный трубчатый для круглых каналов Канал-ГКК-100-600</t>
  </si>
  <si>
    <t>Канал-ВЕНТ канальный вентилятор для круглых каналов, типоразмер 100 Канал-ВЕНТ-100</t>
  </si>
  <si>
    <t>Противодымная защита</t>
  </si>
  <si>
    <t>Раздел №6</t>
  </si>
  <si>
    <t>ДП1.1</t>
  </si>
  <si>
    <t>Вентилятор ОСА 501-080-Н-00550/4-У2 (95 кг)</t>
  </si>
  <si>
    <t>Монтажная опора МОП-ОСА-080-С</t>
  </si>
  <si>
    <t>Прокладка воздуховодов из листовой, оцинкованной стали и алюминия класса Н (нормальные) толщиной: 0,8 мм, диаметром до 800 мм</t>
  </si>
  <si>
    <t>Воздуховод из тонколистовой оцинкованной стали ⌀800, δ=0.8</t>
  </si>
  <si>
    <t>Отвод круглого воздуховода 45° ⌀800-⌀800 δ=0.8</t>
  </si>
  <si>
    <t>Сетка N 20 из проволоки диаметром 1.6 мм 20-1.6ОНУ</t>
  </si>
  <si>
    <t>Сетка защитная проволочная СЕП СЕП-080-С</t>
  </si>
  <si>
    <t>Клапан противопожарный обратный ПРОК ПРОК-1-Н-800-2*000</t>
  </si>
  <si>
    <t>Установка клапанов противопожарных диаметром: до 800 мм</t>
  </si>
  <si>
    <t>Клапан противопожарный универсальный КПУ-2НСН -З-0-0-0-0-0-0 -Н-800-2*ф-MB230-</t>
  </si>
  <si>
    <t xml:space="preserve">Изоляция воздуховодов и их креплений огнезащитными материалами: 120 мин; </t>
  </si>
  <si>
    <t>Огнезащитный материал МБОР -13Ф</t>
  </si>
  <si>
    <t>Клеящая смесь "Плазас" слой 2мм</t>
  </si>
  <si>
    <t>Клеящая смесь "Плазас" (слой 0,5 мм)</t>
  </si>
  <si>
    <t>ДП1.2</t>
  </si>
  <si>
    <t>Вентилятор осевой ОСА 501, типоразмер 071, ОСА 501-071-Н-00550/2-У2</t>
  </si>
  <si>
    <t>Монтажная опора МОП-ОСА-071-С</t>
  </si>
  <si>
    <t>Воздуховод из тонколистовой оцинкованной стали ⌀710, δ=0.8</t>
  </si>
  <si>
    <t>Сетка защитная проволочная СЕП СЕП-071-С</t>
  </si>
  <si>
    <t>Отвод круглого воздуховода 45° ⌀710-⌀710 δ=0.8</t>
  </si>
  <si>
    <t>Переход круглого сечения ⌀710-⌀700</t>
  </si>
  <si>
    <t>Клапан противопожарный обратный ПРОК ПРОК-1-Н-710-2*000</t>
  </si>
  <si>
    <t>Клапан противопожарный универсальный КПУ-2НСН -З-0-0-0-0-0-0 -Н-710-2*ф-MB230-</t>
  </si>
  <si>
    <t>ДП1.3</t>
  </si>
  <si>
    <t>Установка вентиляторов крышных массой: до 0,05 т</t>
  </si>
  <si>
    <t>Вентилятор осевой ОСА 501, типоразмер 056 ОСА 501-056-Н-00150/2-У2</t>
  </si>
  <si>
    <t>Монтажная опора МОП-ОСА-056-С</t>
  </si>
  <si>
    <t>Установка клапанов противопожарных диаметром: до 560 мм</t>
  </si>
  <si>
    <t>Клапан противопожарный обратный ПРОК-1-Н-560-2*000</t>
  </si>
  <si>
    <t>Клапан противопожарный ГЕРМИК MB230- -ДУ ВН--0- З-750x400-1* РОН110-0-0ф-</t>
  </si>
  <si>
    <t>Воздуховод из тонколистовой оцинкованной стали 750x400</t>
  </si>
  <si>
    <t>Врезка прямоугольная 400x750-400x750, класс герм B</t>
  </si>
  <si>
    <t>Прокладка воздуховодов из листовой, оцинкованной стали и алюминия класса Н (нормальные) толщиной: 0,9 мм, периметром до 3200 мм</t>
  </si>
  <si>
    <t>Воздуховод из тонколистовой оцинкованной стали 800x500</t>
  </si>
  <si>
    <t>Заглушка прямоугольная 800x500, класс герметичности B</t>
  </si>
  <si>
    <t>Отвод прямоугольного воздуховода 90° 500x800-500x800</t>
  </si>
  <si>
    <t>Отвод прямоугольного воздуховода 90° 800x500-800x500</t>
  </si>
  <si>
    <t>Переход воздуховода с круглого на прямоугольное сечение 800x500- ⌀560</t>
  </si>
  <si>
    <t>Прокладка воздуховодов из листовой, оцинкованной стали и алюминия класса Н (нормальные) толщиной: 0,8 мм, диаметром от 500 до 560 мм</t>
  </si>
  <si>
    <t>Воздуховод из тонколистовой оцинкованной стали ⌀560, δ=0.8</t>
  </si>
  <si>
    <t>Отвод круглого воздуховода 45° ⌀560-⌀560</t>
  </si>
  <si>
    <t>Переход круглого сечения ⌀560-⌀550</t>
  </si>
  <si>
    <t>Сетка защитная проволочная СЕП-056-С</t>
  </si>
  <si>
    <t>ДВ1.1</t>
  </si>
  <si>
    <t>Стакан монтажный СТАМ 401-71-Н-МВ230-У1</t>
  </si>
  <si>
    <t>Монтаж оборудования на открытой площадке: масса оборудования, т: 0.15</t>
  </si>
  <si>
    <t>Воздуховод из тонколистовой оцинкованной стали 710x710</t>
  </si>
  <si>
    <t>Переход прямоугольного сечения 710x710-500x800</t>
  </si>
  <si>
    <t>Воздуховод из тонколистовой оцинкованной стали 750x450</t>
  </si>
  <si>
    <t>Врезка прямоугольная 450x750-450x750</t>
  </si>
  <si>
    <t>Заглушка прямоугольная 800x500</t>
  </si>
  <si>
    <t>Компенсатор линейных расширений СОМ 560-КАНАЛ-800х500-С</t>
  </si>
  <si>
    <t>СЕКЦИЯ 2</t>
  </si>
  <si>
    <t>СЕКЦИЯ 1</t>
  </si>
  <si>
    <t xml:space="preserve"> Вентиляция жилья ПЕЖ1</t>
  </si>
  <si>
    <t>Вентиляция жилья. Система В1.1.1.</t>
  </si>
  <si>
    <t>Вентиляция жилья.  Система В1.1.2.</t>
  </si>
  <si>
    <t>Вентиляция жилья. Система В2.1.1</t>
  </si>
  <si>
    <t>Отвод прямоугольного воздуховода 90° 400x250-400x250</t>
  </si>
  <si>
    <t>Воздуховод из тонколистовой оцинкованной стали 600x300</t>
  </si>
  <si>
    <t>Заглушка прямоугольная 600x300</t>
  </si>
  <si>
    <r>
      <t>Отвод прямоугольного воздуховода 90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 xml:space="preserve"> 300*600-300*600</t>
    </r>
  </si>
  <si>
    <t>Переход прямоугольного сечения 600*300-400*250</t>
  </si>
  <si>
    <t>Клапан противопожарный универсальный прямоугольный КПУ-1Н-О-600x300</t>
  </si>
  <si>
    <t>Кондиционер ЦКП Вероса-500-078-04-10-У1</t>
  </si>
  <si>
    <t>Вентиляция жилья. Система В2.1.2</t>
  </si>
  <si>
    <t>Воздуховод из тонколистовой оцинкованной стали 300x250</t>
  </si>
  <si>
    <t>Воздуховод из тонколистовой оцинкованной стали 500x300</t>
  </si>
  <si>
    <t>Заглушка прямоугольная 250х400</t>
  </si>
  <si>
    <t>Заглушка прямоугольная 250x500</t>
  </si>
  <si>
    <t xml:space="preserve">Врезка прямоугольная 600x600-600x600, </t>
  </si>
  <si>
    <t>Приточные и вытяжные установки секции 2.</t>
  </si>
  <si>
    <t>Прокладка воздуховодов из листовой, оцинкованной стали и алюминия класса Н (нормальные) толщиной: 0,7 мм, периметром 800, 1000 мм</t>
  </si>
  <si>
    <t>Воздуховод из тонколистовой оцинкованной стали 300x150</t>
  </si>
  <si>
    <t>Сетка защитная стальная на воздуховод</t>
  </si>
  <si>
    <t>Решетка с поворотными жалюзи двухрядная с регулятором расхода АДР 300х150</t>
  </si>
  <si>
    <t>Клапан противопожарный универсальный прямоугольный КПУ-1Н-О-150x300</t>
  </si>
  <si>
    <t>Клапан противопожарный универсальный КПУ-1Н-О-150x150- MB230 Н-2*ф-МВ230</t>
  </si>
  <si>
    <t>Воздуховод из тонколистовой оцинкованной стали 150x150, δ=0.5</t>
  </si>
  <si>
    <t>Решетка с поворотными жалюзи двухрядная с регулятором расхода АДР 150х150</t>
  </si>
  <si>
    <t>П2.1</t>
  </si>
  <si>
    <t>Воздуховод из тонколистовой оцинкованной стали ⌀125, δ=0.5</t>
  </si>
  <si>
    <t>ВЕ2.1 - ВЕ2.3</t>
  </si>
  <si>
    <t>Воздуховод из тонколистовой оцинкованной стали 300x300 δ=0.7</t>
  </si>
  <si>
    <t>Установка решеток стальных</t>
  </si>
  <si>
    <t>Решетка наружная РН 300x300</t>
  </si>
  <si>
    <t>Решетка с поворотными жалюзи однорядная АМН 150х150</t>
  </si>
  <si>
    <t>Установка решеток жалюзийных стальных  с поворотными жалюзи размер 150х150 мм</t>
  </si>
  <si>
    <t>Воздуховод из тонколистовой оцинкованной стали ⌀160, δ=0.5</t>
  </si>
  <si>
    <t>Воздуховод из тонколистовой оцинкованной стали ⌀160, δ=0.8</t>
  </si>
  <si>
    <t>Переход воздуховода с круглого на прямоугольное сечение 200x100-⌀100</t>
  </si>
  <si>
    <t>Переход воздуховода с круглого на прямоугольное сечение 300x150-⌀125</t>
  </si>
  <si>
    <t>Переход круглого сечения ⌀160-⌀125, класс герметичности A</t>
  </si>
  <si>
    <t>Установка клапанов огнезадерживающих диаметром до 200 мм</t>
  </si>
  <si>
    <t>Клапан противопожарный универсальный КПУ-1Н-О-100-Н-2*ф-MB230</t>
  </si>
  <si>
    <t>Клапан противопожарный универсальный КПУ-1Н-О-160-Н-2*ф-MB230</t>
  </si>
  <si>
    <r>
      <t xml:space="preserve">Решетка наружная круглая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100 РКМ 100</t>
    </r>
  </si>
  <si>
    <r>
      <t xml:space="preserve">Решетка наружная круглая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160 РКМ 160</t>
    </r>
  </si>
  <si>
    <t>Решетка с поворотными жалюзи однорядная АМН 150х100</t>
  </si>
  <si>
    <t>Решетка с поворотными жалюзи однорядная АМН 200х100</t>
  </si>
  <si>
    <t>Решетка с поворотными жалюзи однорядная АМН 300х150</t>
  </si>
  <si>
    <t>Установка диффузоров воздуха</t>
  </si>
  <si>
    <t>Диффузор универсальный пластиковый ДПУ-М 100</t>
  </si>
  <si>
    <t>Канал-ВЕНТ канальный вентилятор для круглых каналов, типоразмер 100 Канал-ВЕНТ-125</t>
  </si>
  <si>
    <t>Канал-КОЛ-К клапан обратный для круглых каналов диаметром 160 мм</t>
  </si>
  <si>
    <t>ДП2.1</t>
  </si>
  <si>
    <t>ДП2.2</t>
  </si>
  <si>
    <t>ДП2.3</t>
  </si>
  <si>
    <t>Клапан противопожарный ГЕРМИК -ДУ- З-750x400-1*ф-MB230-ВН-0-РОН110-0-0</t>
  </si>
  <si>
    <t>ДВ 2.1</t>
  </si>
  <si>
    <t>Вентилятор крышный радиальный  УКРОС91-071-ДУ400-Н-00300/6-Т1</t>
  </si>
  <si>
    <t>Общеобменная вентиляция. Вентиляция дымоудаления.</t>
  </si>
  <si>
    <t>Обоснование затрат</t>
  </si>
  <si>
    <t>3.4</t>
  </si>
  <si>
    <t>3.5</t>
  </si>
  <si>
    <t>4.4</t>
  </si>
  <si>
    <t>4.5</t>
  </si>
  <si>
    <t>4.6</t>
  </si>
  <si>
    <t>4.7</t>
  </si>
  <si>
    <t>4.8</t>
  </si>
  <si>
    <t>5.6</t>
  </si>
  <si>
    <t>5.7</t>
  </si>
  <si>
    <t>5.8</t>
  </si>
  <si>
    <t>5.9</t>
  </si>
  <si>
    <t>5.10</t>
  </si>
  <si>
    <t>5.11</t>
  </si>
  <si>
    <t>6.6</t>
  </si>
  <si>
    <t>6.7</t>
  </si>
  <si>
    <t>6.8</t>
  </si>
  <si>
    <t>13.2</t>
  </si>
  <si>
    <t>13.3</t>
  </si>
  <si>
    <t>13.4</t>
  </si>
  <si>
    <t>13.5</t>
  </si>
  <si>
    <t>13.6</t>
  </si>
  <si>
    <t>14.2</t>
  </si>
  <si>
    <t>14.3</t>
  </si>
  <si>
    <t>14.4</t>
  </si>
  <si>
    <t>14.5</t>
  </si>
  <si>
    <t>16.2</t>
  </si>
  <si>
    <t>16.6</t>
  </si>
  <si>
    <t>16.4</t>
  </si>
  <si>
    <t>16.3</t>
  </si>
  <si>
    <t>16.5</t>
  </si>
  <si>
    <t>16.7</t>
  </si>
  <si>
    <t>17.4</t>
  </si>
  <si>
    <t>17.5</t>
  </si>
  <si>
    <t>17.6</t>
  </si>
  <si>
    <t>17.7</t>
  </si>
  <si>
    <t>17.8</t>
  </si>
  <si>
    <t>17.9</t>
  </si>
  <si>
    <t>17.10</t>
  </si>
  <si>
    <t>17.11</t>
  </si>
  <si>
    <t>18.4</t>
  </si>
  <si>
    <t>18.5</t>
  </si>
  <si>
    <t>18.6</t>
  </si>
  <si>
    <t>18.7</t>
  </si>
  <si>
    <t>19.4</t>
  </si>
  <si>
    <t>19.5</t>
  </si>
  <si>
    <t>19.3</t>
  </si>
  <si>
    <t>25.5</t>
  </si>
  <si>
    <t>25.6</t>
  </si>
  <si>
    <t>Итого</t>
  </si>
  <si>
    <t xml:space="preserve">ИТОГО </t>
  </si>
  <si>
    <t>Всего вентиляция жилья секция 1</t>
  </si>
  <si>
    <t>Раздел №2</t>
  </si>
  <si>
    <t>Раздел №3</t>
  </si>
  <si>
    <t>ИТОГО</t>
  </si>
  <si>
    <t>Всего приточные и вытяжные установки секции 1</t>
  </si>
  <si>
    <t>13.7</t>
  </si>
  <si>
    <t>Всего дымоудаление секции 1</t>
  </si>
  <si>
    <t xml:space="preserve"> Вентиляция жилья ПЕЖ2</t>
  </si>
  <si>
    <t>Раздел №4</t>
  </si>
  <si>
    <t>6.9</t>
  </si>
  <si>
    <t>7.6</t>
  </si>
  <si>
    <t>18.8</t>
  </si>
  <si>
    <t>18.9</t>
  </si>
  <si>
    <t>18.10</t>
  </si>
  <si>
    <t>18.11</t>
  </si>
  <si>
    <t>18.12</t>
  </si>
  <si>
    <t>18.13</t>
  </si>
  <si>
    <t>19.6</t>
  </si>
  <si>
    <t>Отвод круглого воздуховода 90° ⌀100-⌀100, класс герм. B</t>
  </si>
  <si>
    <t>Отвод круглого воздуховода 90° ⌀100-⌀100, класс герм. A</t>
  </si>
  <si>
    <t>Всего вентиляция жилья секции 2</t>
  </si>
  <si>
    <t>Воздуховод из тонколистовой оцинк. стали 150x150, δ=0.5</t>
  </si>
  <si>
    <t>11.4</t>
  </si>
  <si>
    <t>11.5</t>
  </si>
  <si>
    <t>Воздуховод из тонколистовой оцинк. стали 300x300 δ=0.9</t>
  </si>
  <si>
    <t>Отвод прямоуг. воздуховода 90° 300x300-300x300,  δ=0.9</t>
  </si>
  <si>
    <t>Отвод круглого воздуховода 60° ⌀160-⌀160, класс герм B</t>
  </si>
  <si>
    <t>Всего установки секции 2</t>
  </si>
  <si>
    <t>20.6</t>
  </si>
  <si>
    <t>Итого по разделу</t>
  </si>
  <si>
    <t>Всего по дымоудалению секции 2</t>
  </si>
  <si>
    <t>ВСЕГО ПО КОММЕРЧЕСКОМУ ПРЕДЛОЖЕНИЮ:</t>
  </si>
  <si>
    <t>Отвод круглого воздуховода 45° ⌀100-⌀100, класс герм. A</t>
  </si>
  <si>
    <t>Отвод круглого воздуховода 90° ⌀100-⌀100, класс герм A</t>
  </si>
  <si>
    <t>Клапан дымовой, исполнения 03, стенового типа, с электроприводом BELIMO на 230В, КЭД-03-750*450-1*ф-MB230-ВН-0-РОН110-МРЗ-К</t>
  </si>
  <si>
    <t>Отвод круглого воздуховода 90° ⌀100-⌀100, класс герм. А</t>
  </si>
  <si>
    <t>Отвод круглого воздуховода 90° ⌀100-⌀100, класс герм.B</t>
  </si>
  <si>
    <t>Клапан дымовой, исполнения 03, стенового типа, с электроприводом BELIMO на 230В,   КЭД-03-750*450-1*ф-MB230-ВН-0-РОН110-МРЗ-К</t>
  </si>
  <si>
    <t>5.12</t>
  </si>
  <si>
    <t>Отвод прямоугольного воздуховода 90° 400х250-400х250</t>
  </si>
  <si>
    <t>5.13</t>
  </si>
  <si>
    <t>Тройник круглого воздуховода ⌀100-⌀100-⌀100, класс герм. B</t>
  </si>
  <si>
    <t>Заглушка прямоугольная 800х600, клас герм. В</t>
  </si>
  <si>
    <t>Установка решетки наружной</t>
  </si>
  <si>
    <t>Отвод круглого воздуховода 30° ⌀100-⌀100, класс герм. B</t>
  </si>
  <si>
    <t>жила</t>
  </si>
  <si>
    <t>1а</t>
  </si>
  <si>
    <t>5а</t>
  </si>
  <si>
    <t>9а</t>
  </si>
  <si>
    <t>17а</t>
  </si>
  <si>
    <t>24а</t>
  </si>
  <si>
    <t>Установка решеток жалюзийных стальных: щелевых регулирующих (Р) номер 200 размер 2000х150 мм</t>
  </si>
  <si>
    <t>КОММЕРЧЕСКОЕ ПРЕДЛОЖЕНИЕ  № 3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</si>
  <si>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19</t>
  </si>
  <si>
    <t>Чертежи №14/П-14-V.19-ОВ2</t>
  </si>
  <si>
    <t>Монтаж крышного оборудования: масса оборудования, т: 0,555</t>
  </si>
  <si>
    <t>Подключение жил кабелей к оборудованию, сеч.жилы до 10 мм2</t>
  </si>
  <si>
    <t>М2</t>
  </si>
  <si>
    <t>Воздуховод из тонколистовой оцинкованной стали 400x400</t>
  </si>
  <si>
    <t>Отвод прямоугольного воздуховода 45° 400x400-400x400</t>
  </si>
  <si>
    <t>5.14</t>
  </si>
  <si>
    <t>5.15</t>
  </si>
  <si>
    <t>5.16</t>
  </si>
  <si>
    <t>Переход прямоугольного сечения 400x400-400x250</t>
  </si>
  <si>
    <t>Переход прямоугольного сечения 500x400-400x250,</t>
  </si>
  <si>
    <t>Переход прямоугольного сечения 600x400-400x400</t>
  </si>
  <si>
    <t>Переход прямоугольного сечения 600x500-500x400</t>
  </si>
  <si>
    <t>Переход прямоугольного сечения 600x600-600x400</t>
  </si>
  <si>
    <t>Переход прямоугольного сечения 1225x685-800x600, толщиной 0,7 мм</t>
  </si>
  <si>
    <t>6.10</t>
  </si>
  <si>
    <t>Монтаж крышного оборудования: масса оборудования, т: 0.553</t>
  </si>
  <si>
    <t>Воздуховод из тонколистовой оцинкованной стали 500x500</t>
  </si>
  <si>
    <t xml:space="preserve">Врезка прямоугольная 500x500-500x500, </t>
  </si>
  <si>
    <t>Отвод прямоугольного воздуховода 45° 400x250-400x250</t>
  </si>
  <si>
    <t>Отвод прямоугольного воздуховода 45° 500x500-500x500</t>
  </si>
  <si>
    <t>Переход  прямоугольного сечения 400x300-150x250</t>
  </si>
  <si>
    <t>18.14</t>
  </si>
  <si>
    <t>Переход прямоугольного сечения 500x300-250x250</t>
  </si>
  <si>
    <t>Переход прямоугольного сечения 500x500-400x300</t>
  </si>
  <si>
    <t>Переход прямоугольного сечения 600x400-500x300</t>
  </si>
  <si>
    <t>19.7</t>
  </si>
  <si>
    <t>19.8</t>
  </si>
  <si>
    <t>19.9</t>
  </si>
  <si>
    <t>19.10</t>
  </si>
  <si>
    <t>19.11</t>
  </si>
  <si>
    <t>19.12</t>
  </si>
  <si>
    <t>№ систем вытяжки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</si>
  <si>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</si>
  <si>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</si>
  <si>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</si>
  <si>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</si>
  <si>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</si>
  <si>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</si>
  <si>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</si>
  <si>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</si>
  <si>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</si>
  <si>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</si>
  <si>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</si>
  <si>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</si>
  <si>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</si>
  <si>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</si>
  <si>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</si>
  <si>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</si>
  <si>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</si>
  <si>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</si>
  <si>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</si>
  <si>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</si>
  <si>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</si>
  <si>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</si>
  <si>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Вентилятор вытяжной бытовой</t>
  </si>
  <si>
    <t>Решетка наружная круглая</t>
  </si>
  <si>
    <t>Воздуховод из тонколистовой оцинкованной стали ⌀100, δ=0.5, класс герметичности A</t>
  </si>
  <si>
    <t>Воздуховод из тонколистовой оцинкованной стали ⌀100, δ=0.8, класс В</t>
  </si>
  <si>
    <t>Комбинированное покрытие на основе базальтового рулонного материала, кашированного алюминиевой фольгой, и клеевого состава, 30 мин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</si>
  <si>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</si>
  <si>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</si>
  <si>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</si>
  <si>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</si>
  <si>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</si>
  <si>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</si>
  <si>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</si>
  <si>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</si>
  <si>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</si>
  <si>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</si>
  <si>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</si>
  <si>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</si>
  <si>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</si>
  <si>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</si>
  <si>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</si>
  <si>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</si>
  <si>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</si>
  <si>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</si>
  <si>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2.1.26</t>
  </si>
  <si>
    <t>2.1.27</t>
  </si>
  <si>
    <t>2.1.28</t>
  </si>
  <si>
    <t>2.1.29</t>
  </si>
  <si>
    <t>2.1.30</t>
  </si>
  <si>
    <t>2.1.31</t>
  </si>
  <si>
    <t>2.1.32</t>
  </si>
  <si>
    <t>СЕКЦИЯ 1 Системы 1.1.3-1.1.24</t>
  </si>
  <si>
    <t>К19</t>
  </si>
  <si>
    <t>Вентиляция жилья. Системы В1.1.3 - В1.1.24</t>
  </si>
  <si>
    <t xml:space="preserve">Установка решеток жалюзийных стальных: щелевых регулирующих (Р) </t>
  </si>
  <si>
    <t>дл</t>
  </si>
  <si>
    <t>11.6</t>
  </si>
  <si>
    <t>Отвод круглого воздуховода 45° ⌀100-⌀101</t>
  </si>
  <si>
    <t>Подключение жил кабелей к оборудованию, сеч жилы до 10 мм2</t>
  </si>
  <si>
    <t>Пеодключение жил кабелей к оборудованию, сечение жилы до 10 мм2</t>
  </si>
  <si>
    <t>Подключение жил кабелей к оборудованию, сечение жилы до 10 мм2</t>
  </si>
  <si>
    <t>Всего секция 1</t>
  </si>
  <si>
    <t>Монтаж крышного оборудования: масса оборудования, т: 0.46</t>
  </si>
  <si>
    <t>Кондиционер ЦКП Вероса-500-058-04-10-У1</t>
  </si>
  <si>
    <t>12а</t>
  </si>
  <si>
    <t xml:space="preserve">Врезка прямоугольная 300x600-300x600, </t>
  </si>
  <si>
    <t xml:space="preserve">Врезка прямоугольная 400x600-400x600, </t>
  </si>
  <si>
    <t>Заглушка 250х400</t>
  </si>
  <si>
    <t>Заглушка 250х500</t>
  </si>
  <si>
    <t>Заглушка прямоугольная 800*600, толщиной 0,9 мм</t>
  </si>
  <si>
    <t>Отвод круглого воздуховода 30° ⌀100-⌀100, класс герм.B</t>
  </si>
  <si>
    <t>Отвод прямоугольного воздуховода 45° 600x300-600x300</t>
  </si>
  <si>
    <r>
      <t>Отвод прямоугольного воздуховода 90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 xml:space="preserve"> 600*300-600*300</t>
    </r>
  </si>
  <si>
    <t>Отвод прямоугольного воздуховода 90° 600x8006800x800, толщиной 0,7</t>
  </si>
  <si>
    <t>Переход прямоугольного сечения 600*400-600*300</t>
  </si>
  <si>
    <t>Переход прямоугольного сечения 945x705-800x600, толщиной 0,7 мм</t>
  </si>
  <si>
    <t>6.11</t>
  </si>
  <si>
    <t>3.6</t>
  </si>
  <si>
    <t>Монтаж крышного оборудования: масса оборудования, т: 0.460</t>
  </si>
  <si>
    <t>Клапан противопожарный универсальный прямоугольный КПУ-1Н-О-600x150</t>
  </si>
  <si>
    <t>Воздуховод из тонколистовой оцинкованной стали 150x600</t>
  </si>
  <si>
    <t>Воздуховод из тонколистовой оцинкованной стали 600x150</t>
  </si>
  <si>
    <t>Врезка прямоугольная 600x150-600x150</t>
  </si>
  <si>
    <t>Заглушка 150х600</t>
  </si>
  <si>
    <t>Отвод прямоугольного воздуховода 30° 600x300-600x300</t>
  </si>
  <si>
    <t>Отвод прямоугольного воздуховода 90° 150x600-150x600</t>
  </si>
  <si>
    <t>Отвод прямоугольного воздуховода 90° 600x150-600x150</t>
  </si>
  <si>
    <t>Отвод прямоугольного воздуховода 90° 600x800-600x800</t>
  </si>
  <si>
    <t>Переход воздуховода с круглого на прямоугольное сечение 150x200-⌀100</t>
  </si>
  <si>
    <t>15.6</t>
  </si>
  <si>
    <t>Переход прямоугольного сечения 600x300-600x150</t>
  </si>
  <si>
    <t>Переход прямоугольного сечения 600х400-600х300</t>
  </si>
  <si>
    <t>18.15</t>
  </si>
  <si>
    <t>18.16</t>
  </si>
  <si>
    <t>18.17</t>
  </si>
  <si>
    <t>18.18</t>
  </si>
  <si>
    <t>Вентиляция жилья. Системы В2.1.3-В1.1.20</t>
  </si>
  <si>
    <t>СЕКЦИЯ 2 Системы В2.1.3-В2.1.20</t>
  </si>
  <si>
    <t>ПЕ2.1-ПЕ2.87</t>
  </si>
  <si>
    <t>В2.2 - В2.10</t>
  </si>
  <si>
    <t>Отвод круглого воздуховода 45° ⌀100-⌀100</t>
  </si>
  <si>
    <t>Подключение жил кабелей к оборудованию,сечение жилы до 10 мм2</t>
  </si>
  <si>
    <t>Воздуховод из тонколистовой оцинкованной стали 800х500</t>
  </si>
  <si>
    <t>Вентилятор крышный радиальный УКРОС91,  УКРОС91-071-ДУ400-Н-00300/6-Т1</t>
  </si>
  <si>
    <t xml:space="preserve">Воздуховод из тонколистовой оцинкованной стали 710x710, δ=0.9, </t>
  </si>
  <si>
    <t xml:space="preserve">Переход прямоугольного сечения 710x710-800x500, </t>
  </si>
  <si>
    <t>Всего секция 2</t>
  </si>
  <si>
    <t>28.2</t>
  </si>
  <si>
    <t>28.3</t>
  </si>
  <si>
    <t>28.4</t>
  </si>
  <si>
    <t>28.5</t>
  </si>
  <si>
    <t>29.2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</si>
</sst>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vertAlign val="superscript"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8">
    <xf numFmtId="0" fontId="0" fillId="0" borderId="0" xfId="0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" fontId="1" fillId="0" borderId="41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 wrapText="1"/>
    </xf>
    <xf numFmtId="4" fontId="2" fillId="0" borderId="44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4" fontId="1" fillId="0" borderId="46" xfId="0" applyNumberFormat="1" applyFont="1" applyFill="1" applyBorder="1" applyAlignment="1">
      <alignment horizontal="center" vertical="center" wrapText="1"/>
    </xf>
    <xf numFmtId="4" fontId="1" fillId="0" borderId="47" xfId="0" applyNumberFormat="1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4" fontId="1" fillId="0" borderId="48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35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" fontId="1" fillId="0" borderId="4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43" xfId="0" applyNumberFormat="1" applyFont="1" applyFill="1" applyBorder="1" applyAlignment="1">
      <alignment horizontal="center" vertical="center" wrapText="1"/>
    </xf>
    <xf numFmtId="4" fontId="6" fillId="0" borderId="42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2" fillId="0" borderId="54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" fontId="1" fillId="0" borderId="39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48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 wrapText="1"/>
    </xf>
    <xf numFmtId="4" fontId="1" fillId="0" borderId="5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2" fillId="0" borderId="41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vertical="center" wrapText="1"/>
    </xf>
    <xf numFmtId="4" fontId="1" fillId="0" borderId="60" xfId="0" applyNumberFormat="1" applyFont="1" applyFill="1" applyBorder="1" applyAlignment="1">
      <alignment horizontal="center" vertical="center" wrapText="1"/>
    </xf>
    <xf numFmtId="4" fontId="1" fillId="0" borderId="61" xfId="0" applyNumberFormat="1" applyFont="1" applyFill="1" applyBorder="1" applyAlignment="1">
      <alignment horizontal="center" vertical="center" wrapText="1"/>
    </xf>
    <xf numFmtId="4" fontId="1" fillId="0" borderId="62" xfId="0" applyNumberFormat="1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vertical="center" wrapText="1"/>
    </xf>
    <xf numFmtId="49" fontId="8" fillId="0" borderId="32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4" fontId="1" fillId="0" borderId="63" xfId="0" applyNumberFormat="1" applyFont="1" applyFill="1" applyBorder="1" applyAlignment="1">
      <alignment horizontal="center" vertical="center" wrapText="1"/>
    </xf>
    <xf numFmtId="4" fontId="1" fillId="0" borderId="64" xfId="0" applyNumberFormat="1" applyFont="1" applyFill="1" applyBorder="1" applyAlignment="1">
      <alignment horizontal="center" vertical="center" wrapText="1"/>
    </xf>
    <xf numFmtId="4" fontId="1" fillId="0" borderId="65" xfId="0" applyNumberFormat="1" applyFont="1" applyFill="1" applyBorder="1" applyAlignment="1">
      <alignment horizontal="center" vertical="center" wrapText="1"/>
    </xf>
    <xf numFmtId="4" fontId="1" fillId="0" borderId="6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1" fillId="0" borderId="67" xfId="0" applyNumberFormat="1" applyFont="1" applyFill="1" applyBorder="1" applyAlignment="1">
      <alignment horizontal="center" vertical="center" wrapText="1"/>
    </xf>
    <xf numFmtId="4" fontId="1" fillId="0" borderId="56" xfId="0" applyNumberFormat="1" applyFont="1" applyFill="1" applyBorder="1" applyAlignment="1">
      <alignment horizontal="center" vertical="center" wrapText="1"/>
    </xf>
    <xf numFmtId="4" fontId="1" fillId="0" borderId="57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2" fillId="0" borderId="4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" fontId="2" fillId="0" borderId="63" xfId="0" applyNumberFormat="1" applyFont="1" applyFill="1" applyBorder="1" applyAlignment="1">
      <alignment horizontal="center" vertical="center" wrapText="1"/>
    </xf>
    <xf numFmtId="4" fontId="2" fillId="0" borderId="6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45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49" fontId="13" fillId="0" borderId="27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49" fontId="1" fillId="0" borderId="54" xfId="0" applyNumberFormat="1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 wrapText="1"/>
    </xf>
    <xf numFmtId="49" fontId="13" fillId="0" borderId="34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3" fontId="1" fillId="0" borderId="3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right" vertical="center" wrapText="1"/>
    </xf>
    <xf numFmtId="4" fontId="2" fillId="0" borderId="68" xfId="0" applyNumberFormat="1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49" fontId="1" fillId="0" borderId="6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vertical="center" wrapText="1"/>
    </xf>
    <xf numFmtId="4" fontId="2" fillId="0" borderId="62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/>
    </xf>
    <xf numFmtId="4" fontId="1" fillId="0" borderId="7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center" vertical="center" wrapText="1"/>
    </xf>
    <xf numFmtId="4" fontId="2" fillId="0" borderId="64" xfId="0" applyNumberFormat="1" applyFont="1" applyFill="1" applyBorder="1" applyAlignment="1">
      <alignment horizontal="center" vertical="center" wrapText="1"/>
    </xf>
    <xf numFmtId="4" fontId="2" fillId="0" borderId="6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4" fontId="5" fillId="0" borderId="27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wrapText="1"/>
    </xf>
    <xf numFmtId="4" fontId="2" fillId="0" borderId="7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4" fontId="2" fillId="0" borderId="60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4" fontId="2" fillId="0" borderId="36" xfId="0" applyNumberFormat="1" applyFont="1" applyFill="1" applyBorder="1" applyAlignment="1">
      <alignment horizontal="center" vertical="center" wrapText="1"/>
    </xf>
    <xf numFmtId="4" fontId="2" fillId="0" borderId="38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" fontId="6" fillId="0" borderId="3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1" xfId="0" applyBorder="1"/>
    <xf numFmtId="0" fontId="0" fillId="0" borderId="3" xfId="0" applyBorder="1"/>
    <xf numFmtId="49" fontId="0" fillId="0" borderId="39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23" fillId="0" borderId="24" xfId="0" applyFont="1" applyBorder="1"/>
    <xf numFmtId="0" fontId="0" fillId="0" borderId="15" xfId="0" applyBorder="1"/>
    <xf numFmtId="0" fontId="0" fillId="0" borderId="27" xfId="0" applyBorder="1"/>
    <xf numFmtId="0" fontId="0" fillId="0" borderId="16" xfId="0" applyBorder="1"/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23" fillId="0" borderId="17" xfId="0" applyNumberFormat="1" applyFont="1" applyBorder="1" applyAlignment="1">
      <alignment horizontal="center" vertical="center"/>
    </xf>
    <xf numFmtId="164" fontId="0" fillId="0" borderId="13" xfId="0" applyNumberFormat="1" applyBorder="1"/>
    <xf numFmtId="0" fontId="0" fillId="0" borderId="10" xfId="0" applyBorder="1"/>
    <xf numFmtId="0" fontId="0" fillId="0" borderId="12" xfId="0" applyBorder="1"/>
    <xf numFmtId="164" fontId="0" fillId="0" borderId="15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/>
    <xf numFmtId="0" fontId="0" fillId="0" borderId="0" xfId="0" applyAlignment="1">
      <alignment horizontal="left" vertical="center" wrapText="1"/>
    </xf>
    <xf numFmtId="164" fontId="0" fillId="0" borderId="0" xfId="0" applyNumberFormat="1"/>
    <xf numFmtId="0" fontId="23" fillId="0" borderId="0" xfId="0" applyFont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4" fontId="2" fillId="0" borderId="52" xfId="0" applyNumberFormat="1" applyFont="1" applyFill="1" applyBorder="1" applyAlignment="1">
      <alignment horizontal="center" vertical="center" wrapText="1"/>
    </xf>
    <xf numFmtId="4" fontId="2" fillId="0" borderId="53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4" fontId="1" fillId="0" borderId="51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 vertical="center" wrapText="1"/>
    </xf>
    <xf numFmtId="4" fontId="1" fillId="0" borderId="36" xfId="0" applyNumberFormat="1" applyFont="1" applyFill="1" applyBorder="1" applyAlignment="1">
      <alignment horizontal="center" vertical="center" wrapText="1"/>
    </xf>
    <xf numFmtId="4" fontId="1" fillId="0" borderId="38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4" fontId="1" fillId="0" borderId="52" xfId="0" applyNumberFormat="1" applyFont="1" applyFill="1" applyBorder="1" applyAlignment="1">
      <alignment horizontal="center" vertical="center" wrapText="1"/>
    </xf>
    <xf numFmtId="4" fontId="1" fillId="0" borderId="53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" fontId="1" fillId="0" borderId="3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top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 wrapText="1"/>
    </xf>
    <xf numFmtId="4" fontId="1" fillId="0" borderId="4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4" fontId="7" fillId="0" borderId="40" xfId="0" applyNumberFormat="1" applyFont="1" applyFill="1" applyBorder="1" applyAlignment="1">
      <alignment horizontal="center" vertical="center" wrapText="1"/>
    </xf>
    <xf numFmtId="4" fontId="7" fillId="0" borderId="3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49" fontId="20" fillId="0" borderId="66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4" fontId="6" fillId="0" borderId="4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center" wrapText="1"/>
    </xf>
    <xf numFmtId="4" fontId="1" fillId="0" borderId="40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4" fontId="1" fillId="0" borderId="58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0" fontId="23" fillId="0" borderId="0" xfId="0" applyFont="1" applyBorder="1"/>
    <xf numFmtId="164" fontId="0" fillId="0" borderId="0" xfId="0" applyNumberFormat="1" applyBorder="1" applyAlignment="1">
      <alignment horizontal="center" vertical="center"/>
    </xf>
    <xf numFmtId="164" fontId="2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18"/>
  <sheetViews>
    <sheetView tabSelected="1" topLeftCell="A361" zoomScaleNormal="100" workbookViewId="0">
      <selection activeCell="A713" sqref="A713"/>
    </sheetView>
  </sheetViews>
  <sheetFormatPr defaultRowHeight="15" x14ac:dyDescent="0.25"/>
  <cols>
    <col min="1" max="1" width="7" style="1" customWidth="1"/>
    <col min="2" max="2" width="20.42578125" style="174" customWidth="1"/>
    <col min="3" max="3" width="56.5703125" style="1" customWidth="1"/>
    <col min="4" max="4" width="7" style="313" customWidth="1"/>
    <col min="5" max="5" width="9.5703125" style="2" bestFit="1" customWidth="1"/>
    <col min="6" max="8" width="13.42578125" style="2" customWidth="1"/>
    <col min="9" max="9" width="14.85546875" style="2" customWidth="1"/>
    <col min="10" max="10" width="6.28515625" style="108" customWidth="1"/>
    <col min="11" max="11" width="12.85546875" style="108" customWidth="1"/>
    <col min="12" max="12" width="11.5703125" style="108" customWidth="1"/>
    <col min="13" max="19" width="6.28515625" style="108" customWidth="1"/>
    <col min="20" max="25" width="6.28515625" style="1" customWidth="1"/>
    <col min="26" max="256" width="9.140625" style="1"/>
    <col min="257" max="257" width="7" style="1" customWidth="1"/>
    <col min="258" max="258" width="15.28515625" style="1" customWidth="1"/>
    <col min="259" max="259" width="50.85546875" style="1" customWidth="1"/>
    <col min="260" max="260" width="7" style="1" customWidth="1"/>
    <col min="261" max="261" width="9.140625" style="1"/>
    <col min="262" max="265" width="13.42578125" style="1" customWidth="1"/>
    <col min="266" max="266" width="17.42578125" style="1" customWidth="1"/>
    <col min="267" max="267" width="16.42578125" style="1" customWidth="1"/>
    <col min="268" max="512" width="9.140625" style="1"/>
    <col min="513" max="513" width="7" style="1" customWidth="1"/>
    <col min="514" max="514" width="15.28515625" style="1" customWidth="1"/>
    <col min="515" max="515" width="50.85546875" style="1" customWidth="1"/>
    <col min="516" max="516" width="7" style="1" customWidth="1"/>
    <col min="517" max="517" width="9.140625" style="1"/>
    <col min="518" max="521" width="13.42578125" style="1" customWidth="1"/>
    <col min="522" max="522" width="17.42578125" style="1" customWidth="1"/>
    <col min="523" max="523" width="16.42578125" style="1" customWidth="1"/>
    <col min="524" max="768" width="9.140625" style="1"/>
    <col min="769" max="769" width="7" style="1" customWidth="1"/>
    <col min="770" max="770" width="15.28515625" style="1" customWidth="1"/>
    <col min="771" max="771" width="50.85546875" style="1" customWidth="1"/>
    <col min="772" max="772" width="7" style="1" customWidth="1"/>
    <col min="773" max="773" width="9.140625" style="1"/>
    <col min="774" max="777" width="13.42578125" style="1" customWidth="1"/>
    <col min="778" max="778" width="17.42578125" style="1" customWidth="1"/>
    <col min="779" max="779" width="16.42578125" style="1" customWidth="1"/>
    <col min="780" max="1024" width="9.140625" style="1"/>
    <col min="1025" max="1025" width="7" style="1" customWidth="1"/>
    <col min="1026" max="1026" width="15.28515625" style="1" customWidth="1"/>
    <col min="1027" max="1027" width="50.85546875" style="1" customWidth="1"/>
    <col min="1028" max="1028" width="7" style="1" customWidth="1"/>
    <col min="1029" max="1029" width="9.140625" style="1"/>
    <col min="1030" max="1033" width="13.42578125" style="1" customWidth="1"/>
    <col min="1034" max="1034" width="17.42578125" style="1" customWidth="1"/>
    <col min="1035" max="1035" width="16.42578125" style="1" customWidth="1"/>
    <col min="1036" max="1280" width="9.140625" style="1"/>
    <col min="1281" max="1281" width="7" style="1" customWidth="1"/>
    <col min="1282" max="1282" width="15.28515625" style="1" customWidth="1"/>
    <col min="1283" max="1283" width="50.85546875" style="1" customWidth="1"/>
    <col min="1284" max="1284" width="7" style="1" customWidth="1"/>
    <col min="1285" max="1285" width="9.140625" style="1"/>
    <col min="1286" max="1289" width="13.42578125" style="1" customWidth="1"/>
    <col min="1290" max="1290" width="17.42578125" style="1" customWidth="1"/>
    <col min="1291" max="1291" width="16.42578125" style="1" customWidth="1"/>
    <col min="1292" max="1536" width="9.140625" style="1"/>
    <col min="1537" max="1537" width="7" style="1" customWidth="1"/>
    <col min="1538" max="1538" width="15.28515625" style="1" customWidth="1"/>
    <col min="1539" max="1539" width="50.85546875" style="1" customWidth="1"/>
    <col min="1540" max="1540" width="7" style="1" customWidth="1"/>
    <col min="1541" max="1541" width="9.140625" style="1"/>
    <col min="1542" max="1545" width="13.42578125" style="1" customWidth="1"/>
    <col min="1546" max="1546" width="17.42578125" style="1" customWidth="1"/>
    <col min="1547" max="1547" width="16.42578125" style="1" customWidth="1"/>
    <col min="1548" max="1792" width="9.140625" style="1"/>
    <col min="1793" max="1793" width="7" style="1" customWidth="1"/>
    <col min="1794" max="1794" width="15.28515625" style="1" customWidth="1"/>
    <col min="1795" max="1795" width="50.85546875" style="1" customWidth="1"/>
    <col min="1796" max="1796" width="7" style="1" customWidth="1"/>
    <col min="1797" max="1797" width="9.140625" style="1"/>
    <col min="1798" max="1801" width="13.42578125" style="1" customWidth="1"/>
    <col min="1802" max="1802" width="17.42578125" style="1" customWidth="1"/>
    <col min="1803" max="1803" width="16.42578125" style="1" customWidth="1"/>
    <col min="1804" max="2048" width="9.140625" style="1"/>
    <col min="2049" max="2049" width="7" style="1" customWidth="1"/>
    <col min="2050" max="2050" width="15.28515625" style="1" customWidth="1"/>
    <col min="2051" max="2051" width="50.85546875" style="1" customWidth="1"/>
    <col min="2052" max="2052" width="7" style="1" customWidth="1"/>
    <col min="2053" max="2053" width="9.140625" style="1"/>
    <col min="2054" max="2057" width="13.42578125" style="1" customWidth="1"/>
    <col min="2058" max="2058" width="17.42578125" style="1" customWidth="1"/>
    <col min="2059" max="2059" width="16.42578125" style="1" customWidth="1"/>
    <col min="2060" max="2304" width="9.140625" style="1"/>
    <col min="2305" max="2305" width="7" style="1" customWidth="1"/>
    <col min="2306" max="2306" width="15.28515625" style="1" customWidth="1"/>
    <col min="2307" max="2307" width="50.85546875" style="1" customWidth="1"/>
    <col min="2308" max="2308" width="7" style="1" customWidth="1"/>
    <col min="2309" max="2309" width="9.140625" style="1"/>
    <col min="2310" max="2313" width="13.42578125" style="1" customWidth="1"/>
    <col min="2314" max="2314" width="17.42578125" style="1" customWidth="1"/>
    <col min="2315" max="2315" width="16.42578125" style="1" customWidth="1"/>
    <col min="2316" max="2560" width="9.140625" style="1"/>
    <col min="2561" max="2561" width="7" style="1" customWidth="1"/>
    <col min="2562" max="2562" width="15.28515625" style="1" customWidth="1"/>
    <col min="2563" max="2563" width="50.85546875" style="1" customWidth="1"/>
    <col min="2564" max="2564" width="7" style="1" customWidth="1"/>
    <col min="2565" max="2565" width="9.140625" style="1"/>
    <col min="2566" max="2569" width="13.42578125" style="1" customWidth="1"/>
    <col min="2570" max="2570" width="17.42578125" style="1" customWidth="1"/>
    <col min="2571" max="2571" width="16.42578125" style="1" customWidth="1"/>
    <col min="2572" max="2816" width="9.140625" style="1"/>
    <col min="2817" max="2817" width="7" style="1" customWidth="1"/>
    <col min="2818" max="2818" width="15.28515625" style="1" customWidth="1"/>
    <col min="2819" max="2819" width="50.85546875" style="1" customWidth="1"/>
    <col min="2820" max="2820" width="7" style="1" customWidth="1"/>
    <col min="2821" max="2821" width="9.140625" style="1"/>
    <col min="2822" max="2825" width="13.42578125" style="1" customWidth="1"/>
    <col min="2826" max="2826" width="17.42578125" style="1" customWidth="1"/>
    <col min="2827" max="2827" width="16.42578125" style="1" customWidth="1"/>
    <col min="2828" max="3072" width="9.140625" style="1"/>
    <col min="3073" max="3073" width="7" style="1" customWidth="1"/>
    <col min="3074" max="3074" width="15.28515625" style="1" customWidth="1"/>
    <col min="3075" max="3075" width="50.85546875" style="1" customWidth="1"/>
    <col min="3076" max="3076" width="7" style="1" customWidth="1"/>
    <col min="3077" max="3077" width="9.140625" style="1"/>
    <col min="3078" max="3081" width="13.42578125" style="1" customWidth="1"/>
    <col min="3082" max="3082" width="17.42578125" style="1" customWidth="1"/>
    <col min="3083" max="3083" width="16.42578125" style="1" customWidth="1"/>
    <col min="3084" max="3328" width="9.140625" style="1"/>
    <col min="3329" max="3329" width="7" style="1" customWidth="1"/>
    <col min="3330" max="3330" width="15.28515625" style="1" customWidth="1"/>
    <col min="3331" max="3331" width="50.85546875" style="1" customWidth="1"/>
    <col min="3332" max="3332" width="7" style="1" customWidth="1"/>
    <col min="3333" max="3333" width="9.140625" style="1"/>
    <col min="3334" max="3337" width="13.42578125" style="1" customWidth="1"/>
    <col min="3338" max="3338" width="17.42578125" style="1" customWidth="1"/>
    <col min="3339" max="3339" width="16.42578125" style="1" customWidth="1"/>
    <col min="3340" max="3584" width="9.140625" style="1"/>
    <col min="3585" max="3585" width="7" style="1" customWidth="1"/>
    <col min="3586" max="3586" width="15.28515625" style="1" customWidth="1"/>
    <col min="3587" max="3587" width="50.85546875" style="1" customWidth="1"/>
    <col min="3588" max="3588" width="7" style="1" customWidth="1"/>
    <col min="3589" max="3589" width="9.140625" style="1"/>
    <col min="3590" max="3593" width="13.42578125" style="1" customWidth="1"/>
    <col min="3594" max="3594" width="17.42578125" style="1" customWidth="1"/>
    <col min="3595" max="3595" width="16.42578125" style="1" customWidth="1"/>
    <col min="3596" max="3840" width="9.140625" style="1"/>
    <col min="3841" max="3841" width="7" style="1" customWidth="1"/>
    <col min="3842" max="3842" width="15.28515625" style="1" customWidth="1"/>
    <col min="3843" max="3843" width="50.85546875" style="1" customWidth="1"/>
    <col min="3844" max="3844" width="7" style="1" customWidth="1"/>
    <col min="3845" max="3845" width="9.140625" style="1"/>
    <col min="3846" max="3849" width="13.42578125" style="1" customWidth="1"/>
    <col min="3850" max="3850" width="17.42578125" style="1" customWidth="1"/>
    <col min="3851" max="3851" width="16.42578125" style="1" customWidth="1"/>
    <col min="3852" max="4096" width="9.140625" style="1"/>
    <col min="4097" max="4097" width="7" style="1" customWidth="1"/>
    <col min="4098" max="4098" width="15.28515625" style="1" customWidth="1"/>
    <col min="4099" max="4099" width="50.85546875" style="1" customWidth="1"/>
    <col min="4100" max="4100" width="7" style="1" customWidth="1"/>
    <col min="4101" max="4101" width="9.140625" style="1"/>
    <col min="4102" max="4105" width="13.42578125" style="1" customWidth="1"/>
    <col min="4106" max="4106" width="17.42578125" style="1" customWidth="1"/>
    <col min="4107" max="4107" width="16.42578125" style="1" customWidth="1"/>
    <col min="4108" max="4352" width="9.140625" style="1"/>
    <col min="4353" max="4353" width="7" style="1" customWidth="1"/>
    <col min="4354" max="4354" width="15.28515625" style="1" customWidth="1"/>
    <col min="4355" max="4355" width="50.85546875" style="1" customWidth="1"/>
    <col min="4356" max="4356" width="7" style="1" customWidth="1"/>
    <col min="4357" max="4357" width="9.140625" style="1"/>
    <col min="4358" max="4361" width="13.42578125" style="1" customWidth="1"/>
    <col min="4362" max="4362" width="17.42578125" style="1" customWidth="1"/>
    <col min="4363" max="4363" width="16.42578125" style="1" customWidth="1"/>
    <col min="4364" max="4608" width="9.140625" style="1"/>
    <col min="4609" max="4609" width="7" style="1" customWidth="1"/>
    <col min="4610" max="4610" width="15.28515625" style="1" customWidth="1"/>
    <col min="4611" max="4611" width="50.85546875" style="1" customWidth="1"/>
    <col min="4612" max="4612" width="7" style="1" customWidth="1"/>
    <col min="4613" max="4613" width="9.140625" style="1"/>
    <col min="4614" max="4617" width="13.42578125" style="1" customWidth="1"/>
    <col min="4618" max="4618" width="17.42578125" style="1" customWidth="1"/>
    <col min="4619" max="4619" width="16.42578125" style="1" customWidth="1"/>
    <col min="4620" max="4864" width="9.140625" style="1"/>
    <col min="4865" max="4865" width="7" style="1" customWidth="1"/>
    <col min="4866" max="4866" width="15.28515625" style="1" customWidth="1"/>
    <col min="4867" max="4867" width="50.85546875" style="1" customWidth="1"/>
    <col min="4868" max="4868" width="7" style="1" customWidth="1"/>
    <col min="4869" max="4869" width="9.140625" style="1"/>
    <col min="4870" max="4873" width="13.42578125" style="1" customWidth="1"/>
    <col min="4874" max="4874" width="17.42578125" style="1" customWidth="1"/>
    <col min="4875" max="4875" width="16.42578125" style="1" customWidth="1"/>
    <col min="4876" max="5120" width="9.140625" style="1"/>
    <col min="5121" max="5121" width="7" style="1" customWidth="1"/>
    <col min="5122" max="5122" width="15.28515625" style="1" customWidth="1"/>
    <col min="5123" max="5123" width="50.85546875" style="1" customWidth="1"/>
    <col min="5124" max="5124" width="7" style="1" customWidth="1"/>
    <col min="5125" max="5125" width="9.140625" style="1"/>
    <col min="5126" max="5129" width="13.42578125" style="1" customWidth="1"/>
    <col min="5130" max="5130" width="17.42578125" style="1" customWidth="1"/>
    <col min="5131" max="5131" width="16.42578125" style="1" customWidth="1"/>
    <col min="5132" max="5376" width="9.140625" style="1"/>
    <col min="5377" max="5377" width="7" style="1" customWidth="1"/>
    <col min="5378" max="5378" width="15.28515625" style="1" customWidth="1"/>
    <col min="5379" max="5379" width="50.85546875" style="1" customWidth="1"/>
    <col min="5380" max="5380" width="7" style="1" customWidth="1"/>
    <col min="5381" max="5381" width="9.140625" style="1"/>
    <col min="5382" max="5385" width="13.42578125" style="1" customWidth="1"/>
    <col min="5386" max="5386" width="17.42578125" style="1" customWidth="1"/>
    <col min="5387" max="5387" width="16.42578125" style="1" customWidth="1"/>
    <col min="5388" max="5632" width="9.140625" style="1"/>
    <col min="5633" max="5633" width="7" style="1" customWidth="1"/>
    <col min="5634" max="5634" width="15.28515625" style="1" customWidth="1"/>
    <col min="5635" max="5635" width="50.85546875" style="1" customWidth="1"/>
    <col min="5636" max="5636" width="7" style="1" customWidth="1"/>
    <col min="5637" max="5637" width="9.140625" style="1"/>
    <col min="5638" max="5641" width="13.42578125" style="1" customWidth="1"/>
    <col min="5642" max="5642" width="17.42578125" style="1" customWidth="1"/>
    <col min="5643" max="5643" width="16.42578125" style="1" customWidth="1"/>
    <col min="5644" max="5888" width="9.140625" style="1"/>
    <col min="5889" max="5889" width="7" style="1" customWidth="1"/>
    <col min="5890" max="5890" width="15.28515625" style="1" customWidth="1"/>
    <col min="5891" max="5891" width="50.85546875" style="1" customWidth="1"/>
    <col min="5892" max="5892" width="7" style="1" customWidth="1"/>
    <col min="5893" max="5893" width="9.140625" style="1"/>
    <col min="5894" max="5897" width="13.42578125" style="1" customWidth="1"/>
    <col min="5898" max="5898" width="17.42578125" style="1" customWidth="1"/>
    <col min="5899" max="5899" width="16.42578125" style="1" customWidth="1"/>
    <col min="5900" max="6144" width="9.140625" style="1"/>
    <col min="6145" max="6145" width="7" style="1" customWidth="1"/>
    <col min="6146" max="6146" width="15.28515625" style="1" customWidth="1"/>
    <col min="6147" max="6147" width="50.85546875" style="1" customWidth="1"/>
    <col min="6148" max="6148" width="7" style="1" customWidth="1"/>
    <col min="6149" max="6149" width="9.140625" style="1"/>
    <col min="6150" max="6153" width="13.42578125" style="1" customWidth="1"/>
    <col min="6154" max="6154" width="17.42578125" style="1" customWidth="1"/>
    <col min="6155" max="6155" width="16.42578125" style="1" customWidth="1"/>
    <col min="6156" max="6400" width="9.140625" style="1"/>
    <col min="6401" max="6401" width="7" style="1" customWidth="1"/>
    <col min="6402" max="6402" width="15.28515625" style="1" customWidth="1"/>
    <col min="6403" max="6403" width="50.85546875" style="1" customWidth="1"/>
    <col min="6404" max="6404" width="7" style="1" customWidth="1"/>
    <col min="6405" max="6405" width="9.140625" style="1"/>
    <col min="6406" max="6409" width="13.42578125" style="1" customWidth="1"/>
    <col min="6410" max="6410" width="17.42578125" style="1" customWidth="1"/>
    <col min="6411" max="6411" width="16.42578125" style="1" customWidth="1"/>
    <col min="6412" max="6656" width="9.140625" style="1"/>
    <col min="6657" max="6657" width="7" style="1" customWidth="1"/>
    <col min="6658" max="6658" width="15.28515625" style="1" customWidth="1"/>
    <col min="6659" max="6659" width="50.85546875" style="1" customWidth="1"/>
    <col min="6660" max="6660" width="7" style="1" customWidth="1"/>
    <col min="6661" max="6661" width="9.140625" style="1"/>
    <col min="6662" max="6665" width="13.42578125" style="1" customWidth="1"/>
    <col min="6666" max="6666" width="17.42578125" style="1" customWidth="1"/>
    <col min="6667" max="6667" width="16.42578125" style="1" customWidth="1"/>
    <col min="6668" max="6912" width="9.140625" style="1"/>
    <col min="6913" max="6913" width="7" style="1" customWidth="1"/>
    <col min="6914" max="6914" width="15.28515625" style="1" customWidth="1"/>
    <col min="6915" max="6915" width="50.85546875" style="1" customWidth="1"/>
    <col min="6916" max="6916" width="7" style="1" customWidth="1"/>
    <col min="6917" max="6917" width="9.140625" style="1"/>
    <col min="6918" max="6921" width="13.42578125" style="1" customWidth="1"/>
    <col min="6922" max="6922" width="17.42578125" style="1" customWidth="1"/>
    <col min="6923" max="6923" width="16.42578125" style="1" customWidth="1"/>
    <col min="6924" max="7168" width="9.140625" style="1"/>
    <col min="7169" max="7169" width="7" style="1" customWidth="1"/>
    <col min="7170" max="7170" width="15.28515625" style="1" customWidth="1"/>
    <col min="7171" max="7171" width="50.85546875" style="1" customWidth="1"/>
    <col min="7172" max="7172" width="7" style="1" customWidth="1"/>
    <col min="7173" max="7173" width="9.140625" style="1"/>
    <col min="7174" max="7177" width="13.42578125" style="1" customWidth="1"/>
    <col min="7178" max="7178" width="17.42578125" style="1" customWidth="1"/>
    <col min="7179" max="7179" width="16.42578125" style="1" customWidth="1"/>
    <col min="7180" max="7424" width="9.140625" style="1"/>
    <col min="7425" max="7425" width="7" style="1" customWidth="1"/>
    <col min="7426" max="7426" width="15.28515625" style="1" customWidth="1"/>
    <col min="7427" max="7427" width="50.85546875" style="1" customWidth="1"/>
    <col min="7428" max="7428" width="7" style="1" customWidth="1"/>
    <col min="7429" max="7429" width="9.140625" style="1"/>
    <col min="7430" max="7433" width="13.42578125" style="1" customWidth="1"/>
    <col min="7434" max="7434" width="17.42578125" style="1" customWidth="1"/>
    <col min="7435" max="7435" width="16.42578125" style="1" customWidth="1"/>
    <col min="7436" max="7680" width="9.140625" style="1"/>
    <col min="7681" max="7681" width="7" style="1" customWidth="1"/>
    <col min="7682" max="7682" width="15.28515625" style="1" customWidth="1"/>
    <col min="7683" max="7683" width="50.85546875" style="1" customWidth="1"/>
    <col min="7684" max="7684" width="7" style="1" customWidth="1"/>
    <col min="7685" max="7685" width="9.140625" style="1"/>
    <col min="7686" max="7689" width="13.42578125" style="1" customWidth="1"/>
    <col min="7690" max="7690" width="17.42578125" style="1" customWidth="1"/>
    <col min="7691" max="7691" width="16.42578125" style="1" customWidth="1"/>
    <col min="7692" max="7936" width="9.140625" style="1"/>
    <col min="7937" max="7937" width="7" style="1" customWidth="1"/>
    <col min="7938" max="7938" width="15.28515625" style="1" customWidth="1"/>
    <col min="7939" max="7939" width="50.85546875" style="1" customWidth="1"/>
    <col min="7940" max="7940" width="7" style="1" customWidth="1"/>
    <col min="7941" max="7941" width="9.140625" style="1"/>
    <col min="7942" max="7945" width="13.42578125" style="1" customWidth="1"/>
    <col min="7946" max="7946" width="17.42578125" style="1" customWidth="1"/>
    <col min="7947" max="7947" width="16.42578125" style="1" customWidth="1"/>
    <col min="7948" max="8192" width="9.140625" style="1"/>
    <col min="8193" max="8193" width="7" style="1" customWidth="1"/>
    <col min="8194" max="8194" width="15.28515625" style="1" customWidth="1"/>
    <col min="8195" max="8195" width="50.85546875" style="1" customWidth="1"/>
    <col min="8196" max="8196" width="7" style="1" customWidth="1"/>
    <col min="8197" max="8197" width="9.140625" style="1"/>
    <col min="8198" max="8201" width="13.42578125" style="1" customWidth="1"/>
    <col min="8202" max="8202" width="17.42578125" style="1" customWidth="1"/>
    <col min="8203" max="8203" width="16.42578125" style="1" customWidth="1"/>
    <col min="8204" max="8448" width="9.140625" style="1"/>
    <col min="8449" max="8449" width="7" style="1" customWidth="1"/>
    <col min="8450" max="8450" width="15.28515625" style="1" customWidth="1"/>
    <col min="8451" max="8451" width="50.85546875" style="1" customWidth="1"/>
    <col min="8452" max="8452" width="7" style="1" customWidth="1"/>
    <col min="8453" max="8453" width="9.140625" style="1"/>
    <col min="8454" max="8457" width="13.42578125" style="1" customWidth="1"/>
    <col min="8458" max="8458" width="17.42578125" style="1" customWidth="1"/>
    <col min="8459" max="8459" width="16.42578125" style="1" customWidth="1"/>
    <col min="8460" max="8704" width="9.140625" style="1"/>
    <col min="8705" max="8705" width="7" style="1" customWidth="1"/>
    <col min="8706" max="8706" width="15.28515625" style="1" customWidth="1"/>
    <col min="8707" max="8707" width="50.85546875" style="1" customWidth="1"/>
    <col min="8708" max="8708" width="7" style="1" customWidth="1"/>
    <col min="8709" max="8709" width="9.140625" style="1"/>
    <col min="8710" max="8713" width="13.42578125" style="1" customWidth="1"/>
    <col min="8714" max="8714" width="17.42578125" style="1" customWidth="1"/>
    <col min="8715" max="8715" width="16.42578125" style="1" customWidth="1"/>
    <col min="8716" max="8960" width="9.140625" style="1"/>
    <col min="8961" max="8961" width="7" style="1" customWidth="1"/>
    <col min="8962" max="8962" width="15.28515625" style="1" customWidth="1"/>
    <col min="8963" max="8963" width="50.85546875" style="1" customWidth="1"/>
    <col min="8964" max="8964" width="7" style="1" customWidth="1"/>
    <col min="8965" max="8965" width="9.140625" style="1"/>
    <col min="8966" max="8969" width="13.42578125" style="1" customWidth="1"/>
    <col min="8970" max="8970" width="17.42578125" style="1" customWidth="1"/>
    <col min="8971" max="8971" width="16.42578125" style="1" customWidth="1"/>
    <col min="8972" max="9216" width="9.140625" style="1"/>
    <col min="9217" max="9217" width="7" style="1" customWidth="1"/>
    <col min="9218" max="9218" width="15.28515625" style="1" customWidth="1"/>
    <col min="9219" max="9219" width="50.85546875" style="1" customWidth="1"/>
    <col min="9220" max="9220" width="7" style="1" customWidth="1"/>
    <col min="9221" max="9221" width="9.140625" style="1"/>
    <col min="9222" max="9225" width="13.42578125" style="1" customWidth="1"/>
    <col min="9226" max="9226" width="17.42578125" style="1" customWidth="1"/>
    <col min="9227" max="9227" width="16.42578125" style="1" customWidth="1"/>
    <col min="9228" max="9472" width="9.140625" style="1"/>
    <col min="9473" max="9473" width="7" style="1" customWidth="1"/>
    <col min="9474" max="9474" width="15.28515625" style="1" customWidth="1"/>
    <col min="9475" max="9475" width="50.85546875" style="1" customWidth="1"/>
    <col min="9476" max="9476" width="7" style="1" customWidth="1"/>
    <col min="9477" max="9477" width="9.140625" style="1"/>
    <col min="9478" max="9481" width="13.42578125" style="1" customWidth="1"/>
    <col min="9482" max="9482" width="17.42578125" style="1" customWidth="1"/>
    <col min="9483" max="9483" width="16.42578125" style="1" customWidth="1"/>
    <col min="9484" max="9728" width="9.140625" style="1"/>
    <col min="9729" max="9729" width="7" style="1" customWidth="1"/>
    <col min="9730" max="9730" width="15.28515625" style="1" customWidth="1"/>
    <col min="9731" max="9731" width="50.85546875" style="1" customWidth="1"/>
    <col min="9732" max="9732" width="7" style="1" customWidth="1"/>
    <col min="9733" max="9733" width="9.140625" style="1"/>
    <col min="9734" max="9737" width="13.42578125" style="1" customWidth="1"/>
    <col min="9738" max="9738" width="17.42578125" style="1" customWidth="1"/>
    <col min="9739" max="9739" width="16.42578125" style="1" customWidth="1"/>
    <col min="9740" max="9984" width="9.140625" style="1"/>
    <col min="9985" max="9985" width="7" style="1" customWidth="1"/>
    <col min="9986" max="9986" width="15.28515625" style="1" customWidth="1"/>
    <col min="9987" max="9987" width="50.85546875" style="1" customWidth="1"/>
    <col min="9988" max="9988" width="7" style="1" customWidth="1"/>
    <col min="9989" max="9989" width="9.140625" style="1"/>
    <col min="9990" max="9993" width="13.42578125" style="1" customWidth="1"/>
    <col min="9994" max="9994" width="17.42578125" style="1" customWidth="1"/>
    <col min="9995" max="9995" width="16.42578125" style="1" customWidth="1"/>
    <col min="9996" max="10240" width="9.140625" style="1"/>
    <col min="10241" max="10241" width="7" style="1" customWidth="1"/>
    <col min="10242" max="10242" width="15.28515625" style="1" customWidth="1"/>
    <col min="10243" max="10243" width="50.85546875" style="1" customWidth="1"/>
    <col min="10244" max="10244" width="7" style="1" customWidth="1"/>
    <col min="10245" max="10245" width="9.140625" style="1"/>
    <col min="10246" max="10249" width="13.42578125" style="1" customWidth="1"/>
    <col min="10250" max="10250" width="17.42578125" style="1" customWidth="1"/>
    <col min="10251" max="10251" width="16.42578125" style="1" customWidth="1"/>
    <col min="10252" max="10496" width="9.140625" style="1"/>
    <col min="10497" max="10497" width="7" style="1" customWidth="1"/>
    <col min="10498" max="10498" width="15.28515625" style="1" customWidth="1"/>
    <col min="10499" max="10499" width="50.85546875" style="1" customWidth="1"/>
    <col min="10500" max="10500" width="7" style="1" customWidth="1"/>
    <col min="10501" max="10501" width="9.140625" style="1"/>
    <col min="10502" max="10505" width="13.42578125" style="1" customWidth="1"/>
    <col min="10506" max="10506" width="17.42578125" style="1" customWidth="1"/>
    <col min="10507" max="10507" width="16.42578125" style="1" customWidth="1"/>
    <col min="10508" max="10752" width="9.140625" style="1"/>
    <col min="10753" max="10753" width="7" style="1" customWidth="1"/>
    <col min="10754" max="10754" width="15.28515625" style="1" customWidth="1"/>
    <col min="10755" max="10755" width="50.85546875" style="1" customWidth="1"/>
    <col min="10756" max="10756" width="7" style="1" customWidth="1"/>
    <col min="10757" max="10757" width="9.140625" style="1"/>
    <col min="10758" max="10761" width="13.42578125" style="1" customWidth="1"/>
    <col min="10762" max="10762" width="17.42578125" style="1" customWidth="1"/>
    <col min="10763" max="10763" width="16.42578125" style="1" customWidth="1"/>
    <col min="10764" max="11008" width="9.140625" style="1"/>
    <col min="11009" max="11009" width="7" style="1" customWidth="1"/>
    <col min="11010" max="11010" width="15.28515625" style="1" customWidth="1"/>
    <col min="11011" max="11011" width="50.85546875" style="1" customWidth="1"/>
    <col min="11012" max="11012" width="7" style="1" customWidth="1"/>
    <col min="11013" max="11013" width="9.140625" style="1"/>
    <col min="11014" max="11017" width="13.42578125" style="1" customWidth="1"/>
    <col min="11018" max="11018" width="17.42578125" style="1" customWidth="1"/>
    <col min="11019" max="11019" width="16.42578125" style="1" customWidth="1"/>
    <col min="11020" max="11264" width="9.140625" style="1"/>
    <col min="11265" max="11265" width="7" style="1" customWidth="1"/>
    <col min="11266" max="11266" width="15.28515625" style="1" customWidth="1"/>
    <col min="11267" max="11267" width="50.85546875" style="1" customWidth="1"/>
    <col min="11268" max="11268" width="7" style="1" customWidth="1"/>
    <col min="11269" max="11269" width="9.140625" style="1"/>
    <col min="11270" max="11273" width="13.42578125" style="1" customWidth="1"/>
    <col min="11274" max="11274" width="17.42578125" style="1" customWidth="1"/>
    <col min="11275" max="11275" width="16.42578125" style="1" customWidth="1"/>
    <col min="11276" max="11520" width="9.140625" style="1"/>
    <col min="11521" max="11521" width="7" style="1" customWidth="1"/>
    <col min="11522" max="11522" width="15.28515625" style="1" customWidth="1"/>
    <col min="11523" max="11523" width="50.85546875" style="1" customWidth="1"/>
    <col min="11524" max="11524" width="7" style="1" customWidth="1"/>
    <col min="11525" max="11525" width="9.140625" style="1"/>
    <col min="11526" max="11529" width="13.42578125" style="1" customWidth="1"/>
    <col min="11530" max="11530" width="17.42578125" style="1" customWidth="1"/>
    <col min="11531" max="11531" width="16.42578125" style="1" customWidth="1"/>
    <col min="11532" max="11776" width="9.140625" style="1"/>
    <col min="11777" max="11777" width="7" style="1" customWidth="1"/>
    <col min="11778" max="11778" width="15.28515625" style="1" customWidth="1"/>
    <col min="11779" max="11779" width="50.85546875" style="1" customWidth="1"/>
    <col min="11780" max="11780" width="7" style="1" customWidth="1"/>
    <col min="11781" max="11781" width="9.140625" style="1"/>
    <col min="11782" max="11785" width="13.42578125" style="1" customWidth="1"/>
    <col min="11786" max="11786" width="17.42578125" style="1" customWidth="1"/>
    <col min="11787" max="11787" width="16.42578125" style="1" customWidth="1"/>
    <col min="11788" max="12032" width="9.140625" style="1"/>
    <col min="12033" max="12033" width="7" style="1" customWidth="1"/>
    <col min="12034" max="12034" width="15.28515625" style="1" customWidth="1"/>
    <col min="12035" max="12035" width="50.85546875" style="1" customWidth="1"/>
    <col min="12036" max="12036" width="7" style="1" customWidth="1"/>
    <col min="12037" max="12037" width="9.140625" style="1"/>
    <col min="12038" max="12041" width="13.42578125" style="1" customWidth="1"/>
    <col min="12042" max="12042" width="17.42578125" style="1" customWidth="1"/>
    <col min="12043" max="12043" width="16.42578125" style="1" customWidth="1"/>
    <col min="12044" max="12288" width="9.140625" style="1"/>
    <col min="12289" max="12289" width="7" style="1" customWidth="1"/>
    <col min="12290" max="12290" width="15.28515625" style="1" customWidth="1"/>
    <col min="12291" max="12291" width="50.85546875" style="1" customWidth="1"/>
    <col min="12292" max="12292" width="7" style="1" customWidth="1"/>
    <col min="12293" max="12293" width="9.140625" style="1"/>
    <col min="12294" max="12297" width="13.42578125" style="1" customWidth="1"/>
    <col min="12298" max="12298" width="17.42578125" style="1" customWidth="1"/>
    <col min="12299" max="12299" width="16.42578125" style="1" customWidth="1"/>
    <col min="12300" max="12544" width="9.140625" style="1"/>
    <col min="12545" max="12545" width="7" style="1" customWidth="1"/>
    <col min="12546" max="12546" width="15.28515625" style="1" customWidth="1"/>
    <col min="12547" max="12547" width="50.85546875" style="1" customWidth="1"/>
    <col min="12548" max="12548" width="7" style="1" customWidth="1"/>
    <col min="12549" max="12549" width="9.140625" style="1"/>
    <col min="12550" max="12553" width="13.42578125" style="1" customWidth="1"/>
    <col min="12554" max="12554" width="17.42578125" style="1" customWidth="1"/>
    <col min="12555" max="12555" width="16.42578125" style="1" customWidth="1"/>
    <col min="12556" max="12800" width="9.140625" style="1"/>
    <col min="12801" max="12801" width="7" style="1" customWidth="1"/>
    <col min="12802" max="12802" width="15.28515625" style="1" customWidth="1"/>
    <col min="12803" max="12803" width="50.85546875" style="1" customWidth="1"/>
    <col min="12804" max="12804" width="7" style="1" customWidth="1"/>
    <col min="12805" max="12805" width="9.140625" style="1"/>
    <col min="12806" max="12809" width="13.42578125" style="1" customWidth="1"/>
    <col min="12810" max="12810" width="17.42578125" style="1" customWidth="1"/>
    <col min="12811" max="12811" width="16.42578125" style="1" customWidth="1"/>
    <col min="12812" max="13056" width="9.140625" style="1"/>
    <col min="13057" max="13057" width="7" style="1" customWidth="1"/>
    <col min="13058" max="13058" width="15.28515625" style="1" customWidth="1"/>
    <col min="13059" max="13059" width="50.85546875" style="1" customWidth="1"/>
    <col min="13060" max="13060" width="7" style="1" customWidth="1"/>
    <col min="13061" max="13061" width="9.140625" style="1"/>
    <col min="13062" max="13065" width="13.42578125" style="1" customWidth="1"/>
    <col min="13066" max="13066" width="17.42578125" style="1" customWidth="1"/>
    <col min="13067" max="13067" width="16.42578125" style="1" customWidth="1"/>
    <col min="13068" max="13312" width="9.140625" style="1"/>
    <col min="13313" max="13313" width="7" style="1" customWidth="1"/>
    <col min="13314" max="13314" width="15.28515625" style="1" customWidth="1"/>
    <col min="13315" max="13315" width="50.85546875" style="1" customWidth="1"/>
    <col min="13316" max="13316" width="7" style="1" customWidth="1"/>
    <col min="13317" max="13317" width="9.140625" style="1"/>
    <col min="13318" max="13321" width="13.42578125" style="1" customWidth="1"/>
    <col min="13322" max="13322" width="17.42578125" style="1" customWidth="1"/>
    <col min="13323" max="13323" width="16.42578125" style="1" customWidth="1"/>
    <col min="13324" max="13568" width="9.140625" style="1"/>
    <col min="13569" max="13569" width="7" style="1" customWidth="1"/>
    <col min="13570" max="13570" width="15.28515625" style="1" customWidth="1"/>
    <col min="13571" max="13571" width="50.85546875" style="1" customWidth="1"/>
    <col min="13572" max="13572" width="7" style="1" customWidth="1"/>
    <col min="13573" max="13573" width="9.140625" style="1"/>
    <col min="13574" max="13577" width="13.42578125" style="1" customWidth="1"/>
    <col min="13578" max="13578" width="17.42578125" style="1" customWidth="1"/>
    <col min="13579" max="13579" width="16.42578125" style="1" customWidth="1"/>
    <col min="13580" max="13824" width="9.140625" style="1"/>
    <col min="13825" max="13825" width="7" style="1" customWidth="1"/>
    <col min="13826" max="13826" width="15.28515625" style="1" customWidth="1"/>
    <col min="13827" max="13827" width="50.85546875" style="1" customWidth="1"/>
    <col min="13828" max="13828" width="7" style="1" customWidth="1"/>
    <col min="13829" max="13829" width="9.140625" style="1"/>
    <col min="13830" max="13833" width="13.42578125" style="1" customWidth="1"/>
    <col min="13834" max="13834" width="17.42578125" style="1" customWidth="1"/>
    <col min="13835" max="13835" width="16.42578125" style="1" customWidth="1"/>
    <col min="13836" max="14080" width="9.140625" style="1"/>
    <col min="14081" max="14081" width="7" style="1" customWidth="1"/>
    <col min="14082" max="14082" width="15.28515625" style="1" customWidth="1"/>
    <col min="14083" max="14083" width="50.85546875" style="1" customWidth="1"/>
    <col min="14084" max="14084" width="7" style="1" customWidth="1"/>
    <col min="14085" max="14085" width="9.140625" style="1"/>
    <col min="14086" max="14089" width="13.42578125" style="1" customWidth="1"/>
    <col min="14090" max="14090" width="17.42578125" style="1" customWidth="1"/>
    <col min="14091" max="14091" width="16.42578125" style="1" customWidth="1"/>
    <col min="14092" max="14336" width="9.140625" style="1"/>
    <col min="14337" max="14337" width="7" style="1" customWidth="1"/>
    <col min="14338" max="14338" width="15.28515625" style="1" customWidth="1"/>
    <col min="14339" max="14339" width="50.85546875" style="1" customWidth="1"/>
    <col min="14340" max="14340" width="7" style="1" customWidth="1"/>
    <col min="14341" max="14341" width="9.140625" style="1"/>
    <col min="14342" max="14345" width="13.42578125" style="1" customWidth="1"/>
    <col min="14346" max="14346" width="17.42578125" style="1" customWidth="1"/>
    <col min="14347" max="14347" width="16.42578125" style="1" customWidth="1"/>
    <col min="14348" max="14592" width="9.140625" style="1"/>
    <col min="14593" max="14593" width="7" style="1" customWidth="1"/>
    <col min="14594" max="14594" width="15.28515625" style="1" customWidth="1"/>
    <col min="14595" max="14595" width="50.85546875" style="1" customWidth="1"/>
    <col min="14596" max="14596" width="7" style="1" customWidth="1"/>
    <col min="14597" max="14597" width="9.140625" style="1"/>
    <col min="14598" max="14601" width="13.42578125" style="1" customWidth="1"/>
    <col min="14602" max="14602" width="17.42578125" style="1" customWidth="1"/>
    <col min="14603" max="14603" width="16.42578125" style="1" customWidth="1"/>
    <col min="14604" max="14848" width="9.140625" style="1"/>
    <col min="14849" max="14849" width="7" style="1" customWidth="1"/>
    <col min="14850" max="14850" width="15.28515625" style="1" customWidth="1"/>
    <col min="14851" max="14851" width="50.85546875" style="1" customWidth="1"/>
    <col min="14852" max="14852" width="7" style="1" customWidth="1"/>
    <col min="14853" max="14853" width="9.140625" style="1"/>
    <col min="14854" max="14857" width="13.42578125" style="1" customWidth="1"/>
    <col min="14858" max="14858" width="17.42578125" style="1" customWidth="1"/>
    <col min="14859" max="14859" width="16.42578125" style="1" customWidth="1"/>
    <col min="14860" max="15104" width="9.140625" style="1"/>
    <col min="15105" max="15105" width="7" style="1" customWidth="1"/>
    <col min="15106" max="15106" width="15.28515625" style="1" customWidth="1"/>
    <col min="15107" max="15107" width="50.85546875" style="1" customWidth="1"/>
    <col min="15108" max="15108" width="7" style="1" customWidth="1"/>
    <col min="15109" max="15109" width="9.140625" style="1"/>
    <col min="15110" max="15113" width="13.42578125" style="1" customWidth="1"/>
    <col min="15114" max="15114" width="17.42578125" style="1" customWidth="1"/>
    <col min="15115" max="15115" width="16.42578125" style="1" customWidth="1"/>
    <col min="15116" max="15360" width="9.140625" style="1"/>
    <col min="15361" max="15361" width="7" style="1" customWidth="1"/>
    <col min="15362" max="15362" width="15.28515625" style="1" customWidth="1"/>
    <col min="15363" max="15363" width="50.85546875" style="1" customWidth="1"/>
    <col min="15364" max="15364" width="7" style="1" customWidth="1"/>
    <col min="15365" max="15365" width="9.140625" style="1"/>
    <col min="15366" max="15369" width="13.42578125" style="1" customWidth="1"/>
    <col min="15370" max="15370" width="17.42578125" style="1" customWidth="1"/>
    <col min="15371" max="15371" width="16.42578125" style="1" customWidth="1"/>
    <col min="15372" max="15616" width="9.140625" style="1"/>
    <col min="15617" max="15617" width="7" style="1" customWidth="1"/>
    <col min="15618" max="15618" width="15.28515625" style="1" customWidth="1"/>
    <col min="15619" max="15619" width="50.85546875" style="1" customWidth="1"/>
    <col min="15620" max="15620" width="7" style="1" customWidth="1"/>
    <col min="15621" max="15621" width="9.140625" style="1"/>
    <col min="15622" max="15625" width="13.42578125" style="1" customWidth="1"/>
    <col min="15626" max="15626" width="17.42578125" style="1" customWidth="1"/>
    <col min="15627" max="15627" width="16.42578125" style="1" customWidth="1"/>
    <col min="15628" max="15872" width="9.140625" style="1"/>
    <col min="15873" max="15873" width="7" style="1" customWidth="1"/>
    <col min="15874" max="15874" width="15.28515625" style="1" customWidth="1"/>
    <col min="15875" max="15875" width="50.85546875" style="1" customWidth="1"/>
    <col min="15876" max="15876" width="7" style="1" customWidth="1"/>
    <col min="15877" max="15877" width="9.140625" style="1"/>
    <col min="15878" max="15881" width="13.42578125" style="1" customWidth="1"/>
    <col min="15882" max="15882" width="17.42578125" style="1" customWidth="1"/>
    <col min="15883" max="15883" width="16.42578125" style="1" customWidth="1"/>
    <col min="15884" max="16128" width="9.140625" style="1"/>
    <col min="16129" max="16129" width="7" style="1" customWidth="1"/>
    <col min="16130" max="16130" width="15.28515625" style="1" customWidth="1"/>
    <col min="16131" max="16131" width="50.85546875" style="1" customWidth="1"/>
    <col min="16132" max="16132" width="7" style="1" customWidth="1"/>
    <col min="16133" max="16133" width="9.140625" style="1"/>
    <col min="16134" max="16137" width="13.42578125" style="1" customWidth="1"/>
    <col min="16138" max="16138" width="17.42578125" style="1" customWidth="1"/>
    <col min="16139" max="16139" width="16.42578125" style="1" customWidth="1"/>
    <col min="16140" max="16384" width="9.140625" style="1"/>
  </cols>
  <sheetData>
    <row r="1" spans="1:19" x14ac:dyDescent="0.25">
      <c r="G1" s="315" t="s">
        <v>0</v>
      </c>
      <c r="H1" s="315"/>
      <c r="I1" s="315"/>
    </row>
    <row r="2" spans="1:19" ht="15" customHeight="1" x14ac:dyDescent="0.25">
      <c r="A2" s="317"/>
      <c r="B2" s="317"/>
      <c r="D2" s="315"/>
      <c r="E2" s="315"/>
      <c r="F2" s="315"/>
      <c r="G2" s="315"/>
      <c r="H2" s="315"/>
      <c r="I2" s="315"/>
    </row>
    <row r="7" spans="1:19" ht="15" customHeight="1" x14ac:dyDescent="0.25">
      <c r="C7" s="314" t="s">
        <v>461</v>
      </c>
      <c r="D7" s="314"/>
      <c r="E7" s="314"/>
      <c r="F7" s="314"/>
      <c r="G7" s="314"/>
    </row>
    <row r="8" spans="1:19" ht="15" customHeight="1" x14ac:dyDescent="0.25">
      <c r="B8" s="314" t="s">
        <v>357</v>
      </c>
      <c r="C8" s="314"/>
      <c r="D8" s="314"/>
      <c r="E8" s="314"/>
      <c r="F8" s="314"/>
      <c r="G8" s="314"/>
      <c r="H8" s="314"/>
      <c r="I8" s="314"/>
    </row>
    <row r="9" spans="1:19" ht="8.25" customHeight="1" x14ac:dyDescent="0.25">
      <c r="B9" s="175"/>
      <c r="C9" s="312"/>
      <c r="D9" s="312"/>
      <c r="E9" s="312"/>
      <c r="F9" s="312"/>
      <c r="G9" s="312"/>
      <c r="H9" s="312"/>
      <c r="I9" s="312"/>
    </row>
    <row r="10" spans="1:19" ht="45.75" customHeight="1" x14ac:dyDescent="0.25">
      <c r="A10" s="316" t="s">
        <v>462</v>
      </c>
      <c r="B10" s="316"/>
      <c r="C10" s="316"/>
      <c r="D10" s="316"/>
      <c r="E10" s="316"/>
      <c r="F10" s="316"/>
      <c r="G10" s="316"/>
      <c r="H10" s="316"/>
      <c r="I10" s="316"/>
    </row>
    <row r="11" spans="1:19" ht="5.25" customHeight="1" x14ac:dyDescent="0.25">
      <c r="B11" s="314"/>
      <c r="C11" s="314"/>
      <c r="D11" s="314"/>
      <c r="E11" s="314"/>
      <c r="F11" s="314"/>
      <c r="G11" s="314"/>
      <c r="H11" s="314"/>
      <c r="I11" s="314"/>
    </row>
    <row r="12" spans="1:19" ht="15" customHeight="1" x14ac:dyDescent="0.25">
      <c r="A12" s="316" t="s">
        <v>463</v>
      </c>
      <c r="B12" s="316"/>
      <c r="C12" s="316"/>
    </row>
    <row r="13" spans="1:19" ht="3.75" customHeight="1" thickBot="1" x14ac:dyDescent="0.3"/>
    <row r="14" spans="1:19" s="313" customFormat="1" ht="27.75" customHeight="1" thickBot="1" x14ac:dyDescent="0.3">
      <c r="A14" s="320" t="s">
        <v>1</v>
      </c>
      <c r="B14" s="321" t="s">
        <v>358</v>
      </c>
      <c r="C14" s="320" t="s">
        <v>2</v>
      </c>
      <c r="D14" s="320" t="s">
        <v>3</v>
      </c>
      <c r="E14" s="318" t="s">
        <v>4</v>
      </c>
      <c r="F14" s="318" t="s">
        <v>5</v>
      </c>
      <c r="G14" s="318"/>
      <c r="H14" s="318" t="s">
        <v>6</v>
      </c>
      <c r="I14" s="318"/>
      <c r="J14" s="2"/>
      <c r="K14" s="2" t="s">
        <v>466</v>
      </c>
      <c r="L14" s="2"/>
      <c r="M14" s="2"/>
      <c r="N14" s="2"/>
      <c r="O14" s="2"/>
      <c r="P14" s="2"/>
      <c r="Q14" s="2"/>
      <c r="R14" s="2"/>
      <c r="S14" s="2"/>
    </row>
    <row r="15" spans="1:19" s="313" customFormat="1" ht="15.75" thickBot="1" x14ac:dyDescent="0.3">
      <c r="A15" s="320"/>
      <c r="B15" s="322"/>
      <c r="C15" s="320"/>
      <c r="D15" s="320"/>
      <c r="E15" s="318"/>
      <c r="F15" s="310" t="s">
        <v>8</v>
      </c>
      <c r="G15" s="310" t="s">
        <v>7</v>
      </c>
      <c r="H15" s="310" t="s">
        <v>8</v>
      </c>
      <c r="I15" s="310" t="s">
        <v>7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thickBot="1" x14ac:dyDescent="0.3">
      <c r="A16" s="171">
        <v>1</v>
      </c>
      <c r="B16" s="176">
        <v>2</v>
      </c>
      <c r="C16" s="172">
        <v>3</v>
      </c>
      <c r="D16" s="172">
        <v>4</v>
      </c>
      <c r="E16" s="172">
        <v>5</v>
      </c>
      <c r="F16" s="172">
        <v>6</v>
      </c>
      <c r="G16" s="172">
        <v>7</v>
      </c>
      <c r="H16" s="172">
        <v>8</v>
      </c>
      <c r="I16" s="172">
        <v>9</v>
      </c>
    </row>
    <row r="17" spans="1:19" ht="16.5" thickBot="1" x14ac:dyDescent="0.3">
      <c r="A17" s="117"/>
      <c r="B17" s="177"/>
      <c r="C17" s="258" t="s">
        <v>299</v>
      </c>
      <c r="D17" s="120"/>
      <c r="E17" s="324"/>
      <c r="F17" s="169"/>
      <c r="G17" s="142"/>
      <c r="H17" s="170"/>
      <c r="I17" s="144"/>
      <c r="J17" s="1"/>
      <c r="K17" s="1"/>
      <c r="P17" s="1"/>
      <c r="Q17" s="1"/>
      <c r="R17" s="1"/>
      <c r="S17" s="1"/>
    </row>
    <row r="18" spans="1:19" ht="15.75" thickBot="1" x14ac:dyDescent="0.3">
      <c r="A18" s="44"/>
      <c r="B18" s="121" t="s">
        <v>203</v>
      </c>
      <c r="C18" s="122" t="s">
        <v>300</v>
      </c>
      <c r="D18" s="311"/>
      <c r="E18" s="325"/>
      <c r="F18" s="91"/>
      <c r="G18" s="123"/>
      <c r="H18" s="113"/>
      <c r="I18" s="81"/>
      <c r="J18" s="1"/>
      <c r="K18" s="1"/>
      <c r="P18" s="1"/>
      <c r="Q18" s="1"/>
      <c r="R18" s="1"/>
      <c r="S18" s="1"/>
    </row>
    <row r="19" spans="1:19" x14ac:dyDescent="0.25">
      <c r="A19" s="155" t="s">
        <v>45</v>
      </c>
      <c r="B19" s="178" t="s">
        <v>9</v>
      </c>
      <c r="C19" s="173" t="s">
        <v>201</v>
      </c>
      <c r="D19" s="52" t="s">
        <v>14</v>
      </c>
      <c r="E19" s="53">
        <v>546</v>
      </c>
      <c r="F19" s="132"/>
      <c r="G19" s="130">
        <v>0</v>
      </c>
      <c r="H19" s="127"/>
      <c r="I19" s="59">
        <f>E19*G19</f>
        <v>0</v>
      </c>
      <c r="J19" s="1"/>
      <c r="K19" s="1"/>
      <c r="P19" s="1"/>
      <c r="Q19" s="1"/>
      <c r="R19" s="1"/>
      <c r="S19" s="1"/>
    </row>
    <row r="20" spans="1:19" ht="15.75" thickBot="1" x14ac:dyDescent="0.3">
      <c r="A20" s="30" t="s">
        <v>12</v>
      </c>
      <c r="B20" s="179" t="s">
        <v>13</v>
      </c>
      <c r="C20" s="326" t="s">
        <v>202</v>
      </c>
      <c r="D20" s="55" t="s">
        <v>14</v>
      </c>
      <c r="E20" s="327">
        <v>546</v>
      </c>
      <c r="F20" s="56">
        <v>0</v>
      </c>
      <c r="G20" s="98"/>
      <c r="H20" s="104">
        <f>E20*F20</f>
        <v>0</v>
      </c>
      <c r="I20" s="42"/>
      <c r="J20" s="1"/>
      <c r="K20" s="1"/>
      <c r="P20" s="1"/>
      <c r="Q20" s="1"/>
      <c r="R20" s="1"/>
      <c r="S20" s="1"/>
    </row>
    <row r="21" spans="1:19" ht="15.75" thickBot="1" x14ac:dyDescent="0.3">
      <c r="A21" s="230"/>
      <c r="B21" s="231"/>
      <c r="C21" s="235" t="s">
        <v>407</v>
      </c>
      <c r="D21" s="232"/>
      <c r="E21" s="233"/>
      <c r="F21" s="234"/>
      <c r="G21" s="234"/>
      <c r="H21" s="236">
        <f>SUM(H20)</f>
        <v>0</v>
      </c>
      <c r="I21" s="237">
        <f>SUM(I19:I20)</f>
        <v>0</v>
      </c>
      <c r="J21" s="1"/>
      <c r="K21" s="1"/>
      <c r="P21" s="1"/>
      <c r="Q21" s="1"/>
      <c r="R21" s="1"/>
      <c r="S21" s="1"/>
    </row>
    <row r="22" spans="1:19" ht="15.75" thickBot="1" x14ac:dyDescent="0.3">
      <c r="A22" s="60"/>
      <c r="B22" s="180"/>
      <c r="C22" s="319" t="s">
        <v>301</v>
      </c>
      <c r="D22" s="319"/>
      <c r="E22" s="319"/>
      <c r="F22" s="319"/>
      <c r="G22" s="319"/>
      <c r="H22" s="319"/>
      <c r="I22" s="319"/>
      <c r="J22" s="1"/>
      <c r="K22" s="1"/>
      <c r="P22" s="1"/>
      <c r="Q22" s="1"/>
      <c r="R22" s="1"/>
      <c r="S22" s="1"/>
    </row>
    <row r="23" spans="1:19" ht="42.75" x14ac:dyDescent="0.25">
      <c r="A23" s="61" t="s">
        <v>16</v>
      </c>
      <c r="B23" s="181" t="s">
        <v>9</v>
      </c>
      <c r="C23" s="62" t="s">
        <v>52</v>
      </c>
      <c r="D23" s="63" t="s">
        <v>53</v>
      </c>
      <c r="E23" s="63">
        <v>343.75</v>
      </c>
      <c r="F23" s="88"/>
      <c r="G23" s="40">
        <v>0</v>
      </c>
      <c r="H23" s="88"/>
      <c r="I23" s="40">
        <f>E23*G23</f>
        <v>0</v>
      </c>
      <c r="J23" s="1"/>
      <c r="K23" s="1">
        <f>K25+K26+K27+K28</f>
        <v>343.75</v>
      </c>
      <c r="P23" s="1"/>
      <c r="Q23" s="1"/>
      <c r="R23" s="1"/>
      <c r="S23" s="1"/>
    </row>
    <row r="24" spans="1:19" x14ac:dyDescent="0.25">
      <c r="A24" s="28" t="s">
        <v>17</v>
      </c>
      <c r="B24" s="182" t="s">
        <v>13</v>
      </c>
      <c r="C24" s="64" t="s">
        <v>54</v>
      </c>
      <c r="D24" s="65" t="s">
        <v>38</v>
      </c>
      <c r="E24" s="66">
        <f>0.606*E23</f>
        <v>208.31</v>
      </c>
      <c r="F24" s="29">
        <v>0</v>
      </c>
      <c r="G24" s="15"/>
      <c r="H24" s="29">
        <f>E24*F24</f>
        <v>0</v>
      </c>
      <c r="I24" s="15"/>
      <c r="J24" s="1"/>
      <c r="K24" s="1"/>
      <c r="P24" s="1"/>
      <c r="Q24" s="1"/>
      <c r="R24" s="1"/>
      <c r="S24" s="1"/>
    </row>
    <row r="25" spans="1:19" x14ac:dyDescent="0.25">
      <c r="A25" s="28" t="s">
        <v>18</v>
      </c>
      <c r="B25" s="182" t="s">
        <v>13</v>
      </c>
      <c r="C25" s="64" t="s">
        <v>55</v>
      </c>
      <c r="D25" s="65" t="s">
        <v>57</v>
      </c>
      <c r="E25" s="65">
        <v>176.2</v>
      </c>
      <c r="F25" s="29">
        <v>0</v>
      </c>
      <c r="G25" s="15"/>
      <c r="H25" s="29">
        <f>E25*F25</f>
        <v>0</v>
      </c>
      <c r="I25" s="15"/>
      <c r="J25" s="1"/>
      <c r="K25" s="1">
        <v>309.99</v>
      </c>
      <c r="P25" s="1"/>
      <c r="Q25" s="1"/>
      <c r="R25" s="1"/>
      <c r="S25" s="1"/>
    </row>
    <row r="26" spans="1:19" ht="30" x14ac:dyDescent="0.25">
      <c r="A26" s="28" t="s">
        <v>46</v>
      </c>
      <c r="B26" s="182" t="s">
        <v>13</v>
      </c>
      <c r="C26" s="328" t="s">
        <v>156</v>
      </c>
      <c r="D26" s="65" t="s">
        <v>14</v>
      </c>
      <c r="E26" s="65">
        <v>80</v>
      </c>
      <c r="F26" s="29">
        <v>0</v>
      </c>
      <c r="G26" s="15"/>
      <c r="H26" s="29">
        <f t="shared" ref="H26:H27" si="0">E26*F26</f>
        <v>0</v>
      </c>
      <c r="I26" s="15"/>
      <c r="J26" s="1"/>
      <c r="K26" s="1">
        <f>0.05*E26</f>
        <v>4</v>
      </c>
      <c r="P26" s="1"/>
      <c r="Q26" s="1"/>
      <c r="R26" s="1"/>
      <c r="S26" s="1"/>
    </row>
    <row r="27" spans="1:19" ht="30" x14ac:dyDescent="0.25">
      <c r="A27" s="28" t="s">
        <v>48</v>
      </c>
      <c r="B27" s="182" t="s">
        <v>13</v>
      </c>
      <c r="C27" s="328" t="s">
        <v>157</v>
      </c>
      <c r="D27" s="65" t="s">
        <v>14</v>
      </c>
      <c r="E27" s="65">
        <v>96</v>
      </c>
      <c r="F27" s="29">
        <v>0</v>
      </c>
      <c r="G27" s="15"/>
      <c r="H27" s="29">
        <f t="shared" si="0"/>
        <v>0</v>
      </c>
      <c r="I27" s="15"/>
      <c r="J27" s="1"/>
      <c r="K27" s="1">
        <f>0.06*E27</f>
        <v>5.76</v>
      </c>
      <c r="P27" s="1"/>
      <c r="Q27" s="1"/>
      <c r="R27" s="1"/>
      <c r="S27" s="1"/>
    </row>
    <row r="28" spans="1:19" x14ac:dyDescent="0.25">
      <c r="A28" s="28" t="s">
        <v>49</v>
      </c>
      <c r="B28" s="182" t="s">
        <v>13</v>
      </c>
      <c r="C28" s="328" t="s">
        <v>442</v>
      </c>
      <c r="D28" s="65" t="s">
        <v>14</v>
      </c>
      <c r="E28" s="65">
        <v>240</v>
      </c>
      <c r="F28" s="29">
        <v>0</v>
      </c>
      <c r="G28" s="15"/>
      <c r="H28" s="29">
        <f>E28*F28</f>
        <v>0</v>
      </c>
      <c r="I28" s="15"/>
      <c r="J28" s="1"/>
      <c r="K28" s="1">
        <f>0.1*E28</f>
        <v>24</v>
      </c>
      <c r="P28" s="1"/>
      <c r="Q28" s="1"/>
      <c r="R28" s="1"/>
      <c r="S28" s="1"/>
    </row>
    <row r="29" spans="1:19" ht="42.75" x14ac:dyDescent="0.25">
      <c r="A29" s="25" t="s">
        <v>19</v>
      </c>
      <c r="B29" s="201" t="s">
        <v>9</v>
      </c>
      <c r="C29" s="68" t="s">
        <v>136</v>
      </c>
      <c r="D29" s="69" t="s">
        <v>53</v>
      </c>
      <c r="E29" s="69">
        <v>569.32000000000005</v>
      </c>
      <c r="F29" s="27"/>
      <c r="G29" s="54">
        <v>0</v>
      </c>
      <c r="H29" s="27"/>
      <c r="I29" s="54">
        <f>E29*G29</f>
        <v>0</v>
      </c>
      <c r="J29" s="1"/>
      <c r="K29" s="1">
        <f>K31+K32+K33</f>
        <v>569.32000000000005</v>
      </c>
      <c r="P29" s="1"/>
      <c r="Q29" s="1"/>
      <c r="R29" s="1"/>
      <c r="S29" s="1"/>
    </row>
    <row r="30" spans="1:19" x14ac:dyDescent="0.25">
      <c r="A30" s="28" t="s">
        <v>21</v>
      </c>
      <c r="B30" s="182" t="s">
        <v>13</v>
      </c>
      <c r="C30" s="64" t="s">
        <v>54</v>
      </c>
      <c r="D30" s="65" t="s">
        <v>38</v>
      </c>
      <c r="E30" s="66">
        <f>0.606*E29</f>
        <v>345.01</v>
      </c>
      <c r="F30" s="29">
        <v>0</v>
      </c>
      <c r="G30" s="15"/>
      <c r="H30" s="29">
        <f t="shared" ref="H30:H34" si="1">E30*F30</f>
        <v>0</v>
      </c>
      <c r="I30" s="15"/>
      <c r="J30" s="1"/>
      <c r="K30" s="1"/>
      <c r="P30" s="1"/>
      <c r="Q30" s="1"/>
      <c r="R30" s="1"/>
      <c r="S30" s="1"/>
    </row>
    <row r="31" spans="1:19" x14ac:dyDescent="0.25">
      <c r="A31" s="28" t="s">
        <v>22</v>
      </c>
      <c r="B31" s="182" t="s">
        <v>13</v>
      </c>
      <c r="C31" s="64" t="s">
        <v>138</v>
      </c>
      <c r="D31" s="65" t="s">
        <v>57</v>
      </c>
      <c r="E31" s="65">
        <v>310.60000000000002</v>
      </c>
      <c r="F31" s="29">
        <v>0</v>
      </c>
      <c r="G31" s="15"/>
      <c r="H31" s="29">
        <f t="shared" si="1"/>
        <v>0</v>
      </c>
      <c r="I31" s="15"/>
      <c r="J31" s="1"/>
      <c r="K31" s="1">
        <v>546.44000000000005</v>
      </c>
      <c r="P31" s="1"/>
      <c r="Q31" s="1"/>
      <c r="R31" s="1"/>
      <c r="S31" s="1"/>
    </row>
    <row r="32" spans="1:19" x14ac:dyDescent="0.25">
      <c r="A32" s="28" t="s">
        <v>58</v>
      </c>
      <c r="B32" s="182" t="s">
        <v>13</v>
      </c>
      <c r="C32" s="64" t="s">
        <v>141</v>
      </c>
      <c r="D32" s="65" t="s">
        <v>14</v>
      </c>
      <c r="E32" s="65">
        <v>176</v>
      </c>
      <c r="F32" s="29">
        <v>0</v>
      </c>
      <c r="G32" s="15"/>
      <c r="H32" s="29">
        <f t="shared" si="1"/>
        <v>0</v>
      </c>
      <c r="I32" s="15"/>
      <c r="J32" s="1"/>
      <c r="K32" s="1">
        <f>0.03*E32</f>
        <v>5.28</v>
      </c>
      <c r="P32" s="1"/>
      <c r="Q32" s="1"/>
      <c r="R32" s="1"/>
      <c r="S32" s="1"/>
    </row>
    <row r="33" spans="1:19" x14ac:dyDescent="0.25">
      <c r="A33" s="28" t="s">
        <v>359</v>
      </c>
      <c r="B33" s="182" t="s">
        <v>13</v>
      </c>
      <c r="C33" s="64" t="s">
        <v>427</v>
      </c>
      <c r="D33" s="65" t="s">
        <v>14</v>
      </c>
      <c r="E33" s="65">
        <v>176</v>
      </c>
      <c r="F33" s="29">
        <v>0</v>
      </c>
      <c r="G33" s="15"/>
      <c r="H33" s="29">
        <f t="shared" si="1"/>
        <v>0</v>
      </c>
      <c r="I33" s="15"/>
      <c r="J33" s="1"/>
      <c r="K33" s="1">
        <f>0.1*E33</f>
        <v>17.600000000000001</v>
      </c>
      <c r="P33" s="1"/>
      <c r="Q33" s="1"/>
      <c r="R33" s="1"/>
      <c r="S33" s="1"/>
    </row>
    <row r="34" spans="1:19" ht="27" customHeight="1" x14ac:dyDescent="0.25">
      <c r="A34" s="28" t="s">
        <v>360</v>
      </c>
      <c r="B34" s="182" t="s">
        <v>13</v>
      </c>
      <c r="C34" s="11" t="s">
        <v>139</v>
      </c>
      <c r="D34" s="20" t="s">
        <v>14</v>
      </c>
      <c r="E34" s="20">
        <v>176</v>
      </c>
      <c r="F34" s="29">
        <v>0</v>
      </c>
      <c r="G34" s="15"/>
      <c r="H34" s="29">
        <f t="shared" si="1"/>
        <v>0</v>
      </c>
      <c r="I34" s="15"/>
      <c r="J34" s="1"/>
      <c r="K34" s="1"/>
      <c r="P34" s="1"/>
      <c r="Q34" s="1"/>
      <c r="R34" s="1"/>
      <c r="S34" s="1"/>
    </row>
    <row r="35" spans="1:19" ht="42.75" x14ac:dyDescent="0.25">
      <c r="A35" s="25" t="s">
        <v>23</v>
      </c>
      <c r="B35" s="209" t="s">
        <v>9</v>
      </c>
      <c r="C35" s="220" t="s">
        <v>140</v>
      </c>
      <c r="D35" s="19" t="s">
        <v>53</v>
      </c>
      <c r="E35" s="19">
        <v>111.55</v>
      </c>
      <c r="F35" s="27"/>
      <c r="G35" s="54">
        <v>0</v>
      </c>
      <c r="H35" s="27"/>
      <c r="I35" s="54">
        <f>E35*G35</f>
        <v>0</v>
      </c>
      <c r="J35" s="1"/>
      <c r="K35" s="1">
        <f>SUM(K37:K43)</f>
        <v>111.55</v>
      </c>
      <c r="P35" s="1"/>
      <c r="Q35" s="1"/>
      <c r="R35" s="1"/>
      <c r="S35" s="1"/>
    </row>
    <row r="36" spans="1:19" x14ac:dyDescent="0.25">
      <c r="A36" s="28" t="s">
        <v>24</v>
      </c>
      <c r="B36" s="182" t="s">
        <v>13</v>
      </c>
      <c r="C36" s="167" t="s">
        <v>149</v>
      </c>
      <c r="D36" s="20" t="s">
        <v>38</v>
      </c>
      <c r="E36" s="70">
        <f>0.712*E35</f>
        <v>79.42</v>
      </c>
      <c r="F36" s="29">
        <v>0</v>
      </c>
      <c r="G36" s="15"/>
      <c r="H36" s="29">
        <f t="shared" ref="H36:H43" si="2">E36*F36</f>
        <v>0</v>
      </c>
      <c r="I36" s="15"/>
      <c r="J36" s="1"/>
      <c r="K36" s="1"/>
      <c r="P36" s="1"/>
      <c r="Q36" s="1"/>
      <c r="R36" s="1"/>
      <c r="S36" s="1"/>
    </row>
    <row r="37" spans="1:19" x14ac:dyDescent="0.25">
      <c r="A37" s="28" t="s">
        <v>59</v>
      </c>
      <c r="B37" s="182" t="s">
        <v>13</v>
      </c>
      <c r="C37" s="167" t="s">
        <v>143</v>
      </c>
      <c r="D37" s="20" t="s">
        <v>57</v>
      </c>
      <c r="E37" s="20">
        <v>90.4</v>
      </c>
      <c r="F37" s="29">
        <v>0</v>
      </c>
      <c r="G37" s="15"/>
      <c r="H37" s="29">
        <f t="shared" si="2"/>
        <v>0</v>
      </c>
      <c r="I37" s="15"/>
      <c r="J37" s="1"/>
      <c r="K37" s="1">
        <f>0.8*E37</f>
        <v>72.319999999999993</v>
      </c>
      <c r="P37" s="1"/>
      <c r="Q37" s="1"/>
      <c r="R37" s="1"/>
      <c r="S37" s="1"/>
    </row>
    <row r="38" spans="1:19" x14ac:dyDescent="0.25">
      <c r="A38" s="28" t="s">
        <v>127</v>
      </c>
      <c r="B38" s="182" t="s">
        <v>13</v>
      </c>
      <c r="C38" s="167" t="s">
        <v>144</v>
      </c>
      <c r="D38" s="20" t="s">
        <v>57</v>
      </c>
      <c r="E38" s="20">
        <v>46.9</v>
      </c>
      <c r="F38" s="29">
        <v>0</v>
      </c>
      <c r="G38" s="15"/>
      <c r="H38" s="29">
        <f t="shared" si="2"/>
        <v>0</v>
      </c>
      <c r="I38" s="15"/>
      <c r="J38" s="1"/>
      <c r="K38" s="1">
        <f>0.8*E38</f>
        <v>37.520000000000003</v>
      </c>
      <c r="P38" s="1"/>
      <c r="Q38" s="1"/>
      <c r="R38" s="1"/>
      <c r="S38" s="1"/>
    </row>
    <row r="39" spans="1:19" x14ac:dyDescent="0.25">
      <c r="A39" s="28" t="s">
        <v>361</v>
      </c>
      <c r="B39" s="182" t="s">
        <v>13</v>
      </c>
      <c r="C39" s="167" t="s">
        <v>145</v>
      </c>
      <c r="D39" s="20" t="s">
        <v>14</v>
      </c>
      <c r="E39" s="20">
        <v>2</v>
      </c>
      <c r="F39" s="29">
        <v>0</v>
      </c>
      <c r="G39" s="15"/>
      <c r="H39" s="29">
        <f t="shared" si="2"/>
        <v>0</v>
      </c>
      <c r="I39" s="15"/>
      <c r="J39" s="1"/>
      <c r="K39" s="1">
        <f>0.12*E39</f>
        <v>0.24</v>
      </c>
      <c r="P39" s="1"/>
      <c r="Q39" s="1"/>
      <c r="R39" s="1"/>
      <c r="S39" s="1"/>
    </row>
    <row r="40" spans="1:19" x14ac:dyDescent="0.25">
      <c r="A40" s="28" t="s">
        <v>362</v>
      </c>
      <c r="B40" s="182" t="s">
        <v>13</v>
      </c>
      <c r="C40" s="167" t="s">
        <v>146</v>
      </c>
      <c r="D40" s="20" t="s">
        <v>14</v>
      </c>
      <c r="E40" s="20">
        <v>1</v>
      </c>
      <c r="F40" s="29">
        <v>0</v>
      </c>
      <c r="G40" s="15"/>
      <c r="H40" s="29">
        <f t="shared" si="2"/>
        <v>0</v>
      </c>
      <c r="I40" s="15"/>
      <c r="J40" s="1"/>
      <c r="K40" s="1">
        <f>0.12*E40</f>
        <v>0.12</v>
      </c>
      <c r="P40" s="1"/>
      <c r="Q40" s="1"/>
      <c r="R40" s="1"/>
      <c r="S40" s="1"/>
    </row>
    <row r="41" spans="1:19" ht="30" x14ac:dyDescent="0.25">
      <c r="A41" s="28" t="s">
        <v>363</v>
      </c>
      <c r="B41" s="182" t="s">
        <v>13</v>
      </c>
      <c r="C41" s="167" t="s">
        <v>147</v>
      </c>
      <c r="D41" s="20" t="s">
        <v>14</v>
      </c>
      <c r="E41" s="20">
        <v>1</v>
      </c>
      <c r="F41" s="29">
        <v>0</v>
      </c>
      <c r="G41" s="15"/>
      <c r="H41" s="29">
        <f t="shared" si="2"/>
        <v>0</v>
      </c>
      <c r="I41" s="15"/>
      <c r="J41" s="1"/>
      <c r="K41" s="1">
        <f>0.33*E41</f>
        <v>0.33</v>
      </c>
      <c r="P41" s="1"/>
      <c r="Q41" s="1"/>
      <c r="R41" s="1"/>
      <c r="S41" s="1"/>
    </row>
    <row r="42" spans="1:19" x14ac:dyDescent="0.25">
      <c r="A42" s="28" t="s">
        <v>364</v>
      </c>
      <c r="B42" s="182" t="s">
        <v>13</v>
      </c>
      <c r="C42" s="167" t="s">
        <v>155</v>
      </c>
      <c r="D42" s="20" t="s">
        <v>14</v>
      </c>
      <c r="E42" s="20">
        <v>3</v>
      </c>
      <c r="F42" s="29">
        <v>0</v>
      </c>
      <c r="G42" s="15"/>
      <c r="H42" s="29">
        <f t="shared" si="2"/>
        <v>0</v>
      </c>
      <c r="I42" s="15"/>
      <c r="J42" s="1"/>
      <c r="K42" s="1">
        <f>0.08*E42</f>
        <v>0.24</v>
      </c>
      <c r="P42" s="1"/>
      <c r="Q42" s="1"/>
      <c r="R42" s="1"/>
      <c r="S42" s="1"/>
    </row>
    <row r="43" spans="1:19" ht="30" x14ac:dyDescent="0.25">
      <c r="A43" s="28" t="s">
        <v>365</v>
      </c>
      <c r="B43" s="182" t="s">
        <v>13</v>
      </c>
      <c r="C43" s="167" t="s">
        <v>148</v>
      </c>
      <c r="D43" s="20" t="s">
        <v>14</v>
      </c>
      <c r="E43" s="20">
        <v>2</v>
      </c>
      <c r="F43" s="29">
        <v>0</v>
      </c>
      <c r="G43" s="15"/>
      <c r="H43" s="29">
        <f t="shared" si="2"/>
        <v>0</v>
      </c>
      <c r="I43" s="15"/>
      <c r="J43" s="1"/>
      <c r="K43" s="1">
        <f>0.39*E43</f>
        <v>0.78</v>
      </c>
      <c r="P43" s="1"/>
      <c r="Q43" s="1"/>
      <c r="R43" s="1"/>
      <c r="S43" s="1"/>
    </row>
    <row r="44" spans="1:19" ht="42.75" x14ac:dyDescent="0.25">
      <c r="A44" s="25" t="s">
        <v>50</v>
      </c>
      <c r="B44" s="201" t="s">
        <v>9</v>
      </c>
      <c r="C44" s="68" t="s">
        <v>150</v>
      </c>
      <c r="D44" s="19" t="s">
        <v>53</v>
      </c>
      <c r="E44" s="19">
        <v>390.17</v>
      </c>
      <c r="F44" s="27"/>
      <c r="G44" s="54">
        <v>0</v>
      </c>
      <c r="H44" s="27"/>
      <c r="I44" s="54">
        <f>E44*G44</f>
        <v>0</v>
      </c>
      <c r="J44" s="1"/>
      <c r="K44" s="1">
        <f>SUM(K46:K60)</f>
        <v>390.17</v>
      </c>
      <c r="P44" s="1"/>
      <c r="Q44" s="1"/>
      <c r="R44" s="1"/>
      <c r="S44" s="1"/>
    </row>
    <row r="45" spans="1:19" x14ac:dyDescent="0.25">
      <c r="A45" s="28" t="s">
        <v>26</v>
      </c>
      <c r="B45" s="182" t="s">
        <v>13</v>
      </c>
      <c r="C45" s="11" t="s">
        <v>54</v>
      </c>
      <c r="D45" s="20" t="s">
        <v>38</v>
      </c>
      <c r="E45" s="70">
        <f>1.22*E44</f>
        <v>476.01</v>
      </c>
      <c r="F45" s="29">
        <v>0</v>
      </c>
      <c r="G45" s="15"/>
      <c r="H45" s="29">
        <f t="shared" ref="H45:H60" si="3">E45*F45</f>
        <v>0</v>
      </c>
      <c r="I45" s="15"/>
      <c r="J45" s="1"/>
      <c r="K45" s="1"/>
      <c r="P45" s="1"/>
      <c r="Q45" s="1"/>
      <c r="R45" s="1"/>
      <c r="S45" s="1"/>
    </row>
    <row r="46" spans="1:19" ht="22.5" customHeight="1" x14ac:dyDescent="0.25">
      <c r="A46" s="28" t="s">
        <v>27</v>
      </c>
      <c r="B46" s="182" t="s">
        <v>13</v>
      </c>
      <c r="C46" s="11" t="s">
        <v>151</v>
      </c>
      <c r="D46" s="20" t="s">
        <v>57</v>
      </c>
      <c r="E46" s="20">
        <v>91.1</v>
      </c>
      <c r="F46" s="29">
        <v>0</v>
      </c>
      <c r="G46" s="15"/>
      <c r="H46" s="29">
        <f t="shared" si="3"/>
        <v>0</v>
      </c>
      <c r="I46" s="15"/>
      <c r="J46" s="1"/>
      <c r="K46" s="1">
        <f>1.3*E46</f>
        <v>118.43</v>
      </c>
      <c r="P46" s="1"/>
      <c r="Q46" s="1"/>
      <c r="R46" s="1"/>
      <c r="S46" s="1"/>
    </row>
    <row r="47" spans="1:19" x14ac:dyDescent="0.25">
      <c r="A47" s="28" t="s">
        <v>28</v>
      </c>
      <c r="B47" s="182" t="s">
        <v>13</v>
      </c>
      <c r="C47" s="11" t="s">
        <v>152</v>
      </c>
      <c r="D47" s="20" t="s">
        <v>57</v>
      </c>
      <c r="E47" s="20">
        <v>0.5</v>
      </c>
      <c r="F47" s="29">
        <v>0</v>
      </c>
      <c r="G47" s="15"/>
      <c r="H47" s="29">
        <f t="shared" si="3"/>
        <v>0</v>
      </c>
      <c r="I47" s="15"/>
      <c r="J47" s="1"/>
      <c r="K47" s="1">
        <f>1.5*E47</f>
        <v>0.75</v>
      </c>
      <c r="P47" s="1"/>
      <c r="Q47" s="1"/>
      <c r="R47" s="1"/>
      <c r="S47" s="1"/>
    </row>
    <row r="48" spans="1:19" x14ac:dyDescent="0.25">
      <c r="A48" s="28" t="s">
        <v>61</v>
      </c>
      <c r="B48" s="182" t="s">
        <v>13</v>
      </c>
      <c r="C48" s="11" t="s">
        <v>153</v>
      </c>
      <c r="D48" s="20" t="s">
        <v>57</v>
      </c>
      <c r="E48" s="20">
        <v>91.6</v>
      </c>
      <c r="F48" s="29">
        <v>0</v>
      </c>
      <c r="G48" s="15"/>
      <c r="H48" s="29">
        <f t="shared" si="3"/>
        <v>0</v>
      </c>
      <c r="I48" s="15"/>
      <c r="J48" s="1"/>
      <c r="K48" s="1">
        <f>1.3*E48</f>
        <v>119.08</v>
      </c>
      <c r="P48" s="1"/>
      <c r="Q48" s="1"/>
      <c r="R48" s="1"/>
      <c r="S48" s="1"/>
    </row>
    <row r="49" spans="1:19" x14ac:dyDescent="0.25">
      <c r="A49" s="28" t="s">
        <v>223</v>
      </c>
      <c r="B49" s="182" t="s">
        <v>13</v>
      </c>
      <c r="C49" s="11" t="s">
        <v>467</v>
      </c>
      <c r="D49" s="20" t="s">
        <v>57</v>
      </c>
      <c r="E49" s="20">
        <v>1.7</v>
      </c>
      <c r="F49" s="29">
        <v>0</v>
      </c>
      <c r="G49" s="15"/>
      <c r="H49" s="29">
        <f t="shared" si="3"/>
        <v>0</v>
      </c>
      <c r="I49" s="15"/>
      <c r="J49" s="1"/>
      <c r="K49" s="1">
        <f>1.6*E49</f>
        <v>2.72</v>
      </c>
      <c r="P49" s="1"/>
      <c r="Q49" s="1"/>
      <c r="R49" s="1"/>
      <c r="S49" s="1"/>
    </row>
    <row r="50" spans="1:19" x14ac:dyDescent="0.25">
      <c r="A50" s="28" t="s">
        <v>366</v>
      </c>
      <c r="B50" s="182" t="s">
        <v>13</v>
      </c>
      <c r="C50" s="11" t="s">
        <v>154</v>
      </c>
      <c r="D50" s="20" t="s">
        <v>57</v>
      </c>
      <c r="E50" s="20">
        <v>92</v>
      </c>
      <c r="F50" s="29">
        <v>0</v>
      </c>
      <c r="G50" s="15"/>
      <c r="H50" s="29">
        <f t="shared" si="3"/>
        <v>0</v>
      </c>
      <c r="I50" s="15"/>
      <c r="J50" s="1"/>
      <c r="K50" s="1">
        <f>1.5*E50</f>
        <v>138</v>
      </c>
      <c r="P50" s="1"/>
      <c r="Q50" s="1"/>
      <c r="R50" s="1"/>
      <c r="S50" s="1"/>
    </row>
    <row r="51" spans="1:19" x14ac:dyDescent="0.25">
      <c r="A51" s="28" t="s">
        <v>367</v>
      </c>
      <c r="B51" s="182" t="s">
        <v>13</v>
      </c>
      <c r="C51" s="11" t="s">
        <v>158</v>
      </c>
      <c r="D51" s="20" t="s">
        <v>14</v>
      </c>
      <c r="E51" s="65">
        <v>2</v>
      </c>
      <c r="F51" s="29">
        <v>0</v>
      </c>
      <c r="G51" s="15"/>
      <c r="H51" s="29">
        <f t="shared" si="3"/>
        <v>0</v>
      </c>
      <c r="I51" s="15"/>
      <c r="J51" s="1"/>
      <c r="K51" s="277">
        <f>0.46*E51</f>
        <v>0.92</v>
      </c>
      <c r="P51" s="1"/>
      <c r="Q51" s="1"/>
      <c r="R51" s="1"/>
      <c r="S51" s="1"/>
    </row>
    <row r="52" spans="1:19" x14ac:dyDescent="0.25">
      <c r="A52" s="28" t="s">
        <v>368</v>
      </c>
      <c r="B52" s="182" t="s">
        <v>13</v>
      </c>
      <c r="C52" s="11" t="s">
        <v>159</v>
      </c>
      <c r="D52" s="20" t="s">
        <v>14</v>
      </c>
      <c r="E52" s="65">
        <v>4</v>
      </c>
      <c r="F52" s="29">
        <v>0</v>
      </c>
      <c r="G52" s="15"/>
      <c r="H52" s="29">
        <f t="shared" si="3"/>
        <v>0</v>
      </c>
      <c r="I52" s="15"/>
      <c r="J52" s="1"/>
      <c r="K52" s="277">
        <f>0.17*E52</f>
        <v>0.68</v>
      </c>
      <c r="P52" s="1"/>
      <c r="Q52" s="1"/>
      <c r="R52" s="1"/>
      <c r="S52" s="1"/>
    </row>
    <row r="53" spans="1:19" x14ac:dyDescent="0.25">
      <c r="A53" s="28" t="s">
        <v>369</v>
      </c>
      <c r="B53" s="182" t="s">
        <v>13</v>
      </c>
      <c r="C53" s="11" t="s">
        <v>160</v>
      </c>
      <c r="D53" s="20" t="s">
        <v>14</v>
      </c>
      <c r="E53" s="65">
        <v>2</v>
      </c>
      <c r="F53" s="29">
        <v>0</v>
      </c>
      <c r="G53" s="15"/>
      <c r="H53" s="29">
        <f t="shared" si="3"/>
        <v>0</v>
      </c>
      <c r="I53" s="15"/>
      <c r="J53" s="1"/>
      <c r="K53" s="277">
        <f>0.53*E53</f>
        <v>1.06</v>
      </c>
      <c r="P53" s="1"/>
      <c r="Q53" s="1"/>
      <c r="R53" s="1"/>
      <c r="S53" s="1"/>
    </row>
    <row r="54" spans="1:19" x14ac:dyDescent="0.25">
      <c r="A54" s="28" t="s">
        <v>370</v>
      </c>
      <c r="B54" s="182" t="s">
        <v>13</v>
      </c>
      <c r="C54" s="11" t="s">
        <v>315</v>
      </c>
      <c r="D54" s="20" t="s">
        <v>14</v>
      </c>
      <c r="E54" s="65">
        <v>2</v>
      </c>
      <c r="F54" s="29">
        <v>0</v>
      </c>
      <c r="G54" s="15"/>
      <c r="H54" s="29">
        <f t="shared" si="3"/>
        <v>0</v>
      </c>
      <c r="I54" s="15"/>
      <c r="J54" s="1"/>
      <c r="K54" s="277">
        <f>0.2*E54</f>
        <v>0.4</v>
      </c>
      <c r="P54" s="1"/>
      <c r="Q54" s="1"/>
      <c r="R54" s="1"/>
      <c r="S54" s="1"/>
    </row>
    <row r="55" spans="1:19" x14ac:dyDescent="0.25">
      <c r="A55" s="28" t="s">
        <v>371</v>
      </c>
      <c r="B55" s="182" t="s">
        <v>13</v>
      </c>
      <c r="C55" s="11" t="s">
        <v>161</v>
      </c>
      <c r="D55" s="20" t="s">
        <v>14</v>
      </c>
      <c r="E55" s="65">
        <v>4</v>
      </c>
      <c r="F55" s="29">
        <v>0</v>
      </c>
      <c r="G55" s="15"/>
      <c r="H55" s="29">
        <f t="shared" si="3"/>
        <v>0</v>
      </c>
      <c r="I55" s="15"/>
      <c r="J55" s="1"/>
      <c r="K55" s="277">
        <f>0.64*E55</f>
        <v>2.56</v>
      </c>
      <c r="P55" s="1"/>
      <c r="Q55" s="1"/>
      <c r="R55" s="1"/>
      <c r="S55" s="1"/>
    </row>
    <row r="56" spans="1:19" x14ac:dyDescent="0.25">
      <c r="A56" s="28" t="s">
        <v>447</v>
      </c>
      <c r="B56" s="182" t="s">
        <v>13</v>
      </c>
      <c r="C56" s="11" t="s">
        <v>162</v>
      </c>
      <c r="D56" s="20" t="s">
        <v>14</v>
      </c>
      <c r="E56" s="65">
        <v>2</v>
      </c>
      <c r="F56" s="29">
        <v>0</v>
      </c>
      <c r="G56" s="15"/>
      <c r="H56" s="29">
        <f t="shared" si="3"/>
        <v>0</v>
      </c>
      <c r="I56" s="15"/>
      <c r="J56" s="1"/>
      <c r="K56" s="277">
        <f>0.74*E56</f>
        <v>1.48</v>
      </c>
      <c r="P56" s="1"/>
      <c r="Q56" s="1"/>
      <c r="R56" s="1"/>
      <c r="S56" s="1"/>
    </row>
    <row r="57" spans="1:19" x14ac:dyDescent="0.25">
      <c r="A57" s="28" t="s">
        <v>449</v>
      </c>
      <c r="B57" s="182" t="s">
        <v>13</v>
      </c>
      <c r="C57" s="11" t="s">
        <v>448</v>
      </c>
      <c r="D57" s="20" t="s">
        <v>14</v>
      </c>
      <c r="E57" s="65">
        <v>2</v>
      </c>
      <c r="F57" s="29">
        <v>0</v>
      </c>
      <c r="G57" s="15"/>
      <c r="H57" s="29">
        <f t="shared" si="3"/>
        <v>0</v>
      </c>
      <c r="I57" s="15"/>
      <c r="J57" s="1"/>
      <c r="K57" s="277">
        <f>0.79*E57</f>
        <v>1.58</v>
      </c>
      <c r="P57" s="1"/>
      <c r="Q57" s="1"/>
      <c r="R57" s="1"/>
      <c r="S57" s="1"/>
    </row>
    <row r="58" spans="1:19" x14ac:dyDescent="0.25">
      <c r="A58" s="28" t="s">
        <v>469</v>
      </c>
      <c r="B58" s="182" t="s">
        <v>13</v>
      </c>
      <c r="C58" s="11" t="s">
        <v>468</v>
      </c>
      <c r="D58" s="20" t="s">
        <v>14</v>
      </c>
      <c r="E58" s="20">
        <v>2</v>
      </c>
      <c r="F58" s="29">
        <v>0</v>
      </c>
      <c r="G58" s="15"/>
      <c r="H58" s="29">
        <f t="shared" si="3"/>
        <v>0</v>
      </c>
      <c r="I58" s="15"/>
      <c r="J58" s="1"/>
      <c r="K58" s="277">
        <f>0.57*E58</f>
        <v>1.1399999999999999</v>
      </c>
      <c r="P58" s="1"/>
      <c r="Q58" s="1"/>
      <c r="R58" s="1"/>
      <c r="S58" s="1"/>
    </row>
    <row r="59" spans="1:19" x14ac:dyDescent="0.25">
      <c r="A59" s="28" t="s">
        <v>470</v>
      </c>
      <c r="B59" s="182" t="s">
        <v>13</v>
      </c>
      <c r="C59" s="167" t="s">
        <v>472</v>
      </c>
      <c r="D59" s="20" t="s">
        <v>14</v>
      </c>
      <c r="E59" s="20">
        <v>1</v>
      </c>
      <c r="F59" s="29">
        <v>0</v>
      </c>
      <c r="G59" s="15"/>
      <c r="H59" s="29">
        <f t="shared" si="3"/>
        <v>0</v>
      </c>
      <c r="I59" s="15"/>
      <c r="J59" s="1"/>
      <c r="K59" s="277">
        <f>0.66*E59</f>
        <v>0.66</v>
      </c>
      <c r="P59" s="1"/>
      <c r="Q59" s="1"/>
      <c r="R59" s="1"/>
      <c r="S59" s="1"/>
    </row>
    <row r="60" spans="1:19" x14ac:dyDescent="0.25">
      <c r="A60" s="28" t="s">
        <v>471</v>
      </c>
      <c r="B60" s="182" t="s">
        <v>13</v>
      </c>
      <c r="C60" s="167" t="s">
        <v>473</v>
      </c>
      <c r="D60" s="20" t="s">
        <v>14</v>
      </c>
      <c r="E60" s="20">
        <v>1</v>
      </c>
      <c r="F60" s="29">
        <v>0</v>
      </c>
      <c r="G60" s="15"/>
      <c r="H60" s="29">
        <f t="shared" si="3"/>
        <v>0</v>
      </c>
      <c r="I60" s="15"/>
      <c r="J60" s="1"/>
      <c r="K60" s="277">
        <f>0.71*E60</f>
        <v>0.71</v>
      </c>
      <c r="P60" s="1"/>
      <c r="Q60" s="1"/>
      <c r="R60" s="1"/>
      <c r="S60" s="1"/>
    </row>
    <row r="61" spans="1:19" ht="44.25" customHeight="1" x14ac:dyDescent="0.25">
      <c r="A61" s="25" t="s">
        <v>29</v>
      </c>
      <c r="B61" s="201" t="s">
        <v>9</v>
      </c>
      <c r="C61" s="68" t="s">
        <v>163</v>
      </c>
      <c r="D61" s="19" t="s">
        <v>53</v>
      </c>
      <c r="E61" s="69">
        <v>20.36</v>
      </c>
      <c r="F61" s="27"/>
      <c r="G61" s="54">
        <v>0</v>
      </c>
      <c r="H61" s="27"/>
      <c r="I61" s="54">
        <f>E61*G61</f>
        <v>0</v>
      </c>
      <c r="J61" s="1"/>
      <c r="K61" s="1">
        <f>SUM(K63:K71)</f>
        <v>20.36</v>
      </c>
      <c r="P61" s="1"/>
      <c r="Q61" s="1"/>
      <c r="R61" s="1"/>
      <c r="S61" s="1"/>
    </row>
    <row r="62" spans="1:19" x14ac:dyDescent="0.25">
      <c r="A62" s="28" t="s">
        <v>31</v>
      </c>
      <c r="B62" s="210" t="s">
        <v>13</v>
      </c>
      <c r="C62" s="11" t="s">
        <v>54</v>
      </c>
      <c r="D62" s="20" t="s">
        <v>38</v>
      </c>
      <c r="E62" s="70">
        <f>2.25*E61</f>
        <v>45.81</v>
      </c>
      <c r="F62" s="29">
        <v>0</v>
      </c>
      <c r="G62" s="15"/>
      <c r="H62" s="29">
        <f>F62*E62</f>
        <v>0</v>
      </c>
      <c r="I62" s="15"/>
      <c r="J62" s="1"/>
      <c r="K62" s="1"/>
      <c r="P62" s="1"/>
      <c r="Q62" s="1"/>
      <c r="R62" s="1"/>
      <c r="S62" s="1"/>
    </row>
    <row r="63" spans="1:19" x14ac:dyDescent="0.25">
      <c r="A63" s="28" t="s">
        <v>62</v>
      </c>
      <c r="B63" s="210" t="s">
        <v>13</v>
      </c>
      <c r="C63" s="11" t="s">
        <v>185</v>
      </c>
      <c r="D63" s="20" t="s">
        <v>57</v>
      </c>
      <c r="E63" s="70">
        <v>2.5</v>
      </c>
      <c r="F63" s="29">
        <v>0</v>
      </c>
      <c r="G63" s="15"/>
      <c r="H63" s="29">
        <f>E63*F63</f>
        <v>0</v>
      </c>
      <c r="I63" s="15"/>
      <c r="J63" s="1"/>
      <c r="K63" s="1">
        <f>1.8*E63</f>
        <v>4.5</v>
      </c>
      <c r="P63" s="1"/>
      <c r="Q63" s="1"/>
      <c r="R63" s="1"/>
      <c r="S63" s="1"/>
    </row>
    <row r="64" spans="1:19" ht="21.75" customHeight="1" x14ac:dyDescent="0.25">
      <c r="A64" s="28" t="s">
        <v>63</v>
      </c>
      <c r="B64" s="182" t="s">
        <v>13</v>
      </c>
      <c r="C64" s="11" t="s">
        <v>165</v>
      </c>
      <c r="D64" s="20" t="s">
        <v>57</v>
      </c>
      <c r="E64" s="20">
        <v>2</v>
      </c>
      <c r="F64" s="29">
        <v>0</v>
      </c>
      <c r="G64" s="15"/>
      <c r="H64" s="29">
        <f t="shared" ref="H64:H71" si="4">F64*E64</f>
        <v>0</v>
      </c>
      <c r="I64" s="15"/>
      <c r="J64" s="1"/>
      <c r="K64" s="1">
        <f>2*E64</f>
        <v>4</v>
      </c>
      <c r="P64" s="1"/>
      <c r="Q64" s="1"/>
      <c r="R64" s="1"/>
      <c r="S64" s="1"/>
    </row>
    <row r="65" spans="1:19" x14ac:dyDescent="0.25">
      <c r="A65" s="28" t="s">
        <v>64</v>
      </c>
      <c r="B65" s="182" t="s">
        <v>13</v>
      </c>
      <c r="C65" s="11" t="s">
        <v>164</v>
      </c>
      <c r="D65" s="20" t="s">
        <v>57</v>
      </c>
      <c r="E65" s="20">
        <v>1.3</v>
      </c>
      <c r="F65" s="29">
        <v>0</v>
      </c>
      <c r="G65" s="15"/>
      <c r="H65" s="29">
        <f t="shared" si="4"/>
        <v>0</v>
      </c>
      <c r="I65" s="15"/>
      <c r="J65" s="1"/>
      <c r="K65" s="1">
        <f>2.2*E65</f>
        <v>2.86</v>
      </c>
      <c r="P65" s="1"/>
      <c r="Q65" s="1"/>
      <c r="R65" s="1"/>
      <c r="S65" s="1"/>
    </row>
    <row r="66" spans="1:19" x14ac:dyDescent="0.25">
      <c r="A66" s="28" t="s">
        <v>65</v>
      </c>
      <c r="B66" s="182" t="s">
        <v>13</v>
      </c>
      <c r="C66" s="11" t="s">
        <v>166</v>
      </c>
      <c r="D66" s="20" t="s">
        <v>57</v>
      </c>
      <c r="E66" s="66">
        <v>1.7</v>
      </c>
      <c r="F66" s="29">
        <v>0</v>
      </c>
      <c r="G66" s="15"/>
      <c r="H66" s="29">
        <f t="shared" si="4"/>
        <v>0</v>
      </c>
      <c r="I66" s="15"/>
      <c r="J66" s="1"/>
      <c r="K66" s="1">
        <f>2.4*E66</f>
        <v>4.08</v>
      </c>
      <c r="P66" s="1"/>
      <c r="Q66" s="1"/>
      <c r="R66" s="1"/>
      <c r="S66" s="1"/>
    </row>
    <row r="67" spans="1:19" x14ac:dyDescent="0.25">
      <c r="A67" s="28" t="s">
        <v>372</v>
      </c>
      <c r="B67" s="182" t="s">
        <v>13</v>
      </c>
      <c r="C67" s="11" t="s">
        <v>186</v>
      </c>
      <c r="D67" s="20" t="s">
        <v>14</v>
      </c>
      <c r="E67" s="20">
        <v>1</v>
      </c>
      <c r="F67" s="29">
        <v>0</v>
      </c>
      <c r="G67" s="15"/>
      <c r="H67" s="29">
        <f t="shared" si="4"/>
        <v>0</v>
      </c>
      <c r="I67" s="15"/>
      <c r="J67" s="1"/>
      <c r="K67" s="1">
        <f>0.77*E67</f>
        <v>0.77</v>
      </c>
      <c r="P67" s="1"/>
      <c r="Q67" s="1"/>
      <c r="R67" s="1"/>
      <c r="S67" s="1"/>
    </row>
    <row r="68" spans="1:19" x14ac:dyDescent="0.25">
      <c r="A68" s="28" t="s">
        <v>373</v>
      </c>
      <c r="B68" s="182" t="s">
        <v>13</v>
      </c>
      <c r="C68" s="64" t="s">
        <v>316</v>
      </c>
      <c r="D68" s="20" t="s">
        <v>14</v>
      </c>
      <c r="E68" s="65">
        <v>1</v>
      </c>
      <c r="F68" s="29">
        <v>0</v>
      </c>
      <c r="G68" s="15"/>
      <c r="H68" s="29">
        <f t="shared" si="4"/>
        <v>0</v>
      </c>
      <c r="I68" s="15"/>
      <c r="J68" s="1"/>
      <c r="K68" s="1">
        <f>1.2*E68</f>
        <v>1.2</v>
      </c>
      <c r="P68" s="1"/>
      <c r="Q68" s="1"/>
      <c r="R68" s="1"/>
      <c r="S68" s="1"/>
    </row>
    <row r="69" spans="1:19" x14ac:dyDescent="0.25">
      <c r="A69" s="28" t="s">
        <v>374</v>
      </c>
      <c r="B69" s="182" t="s">
        <v>13</v>
      </c>
      <c r="C69" s="11" t="s">
        <v>474</v>
      </c>
      <c r="D69" s="20" t="s">
        <v>14</v>
      </c>
      <c r="E69" s="20">
        <v>1</v>
      </c>
      <c r="F69" s="29">
        <v>0</v>
      </c>
      <c r="G69" s="15"/>
      <c r="H69" s="29">
        <f t="shared" si="4"/>
        <v>0</v>
      </c>
      <c r="I69" s="15"/>
      <c r="J69" s="1"/>
      <c r="K69" s="1">
        <f>0.82*E69</f>
        <v>0.82</v>
      </c>
      <c r="P69" s="1"/>
      <c r="Q69" s="1"/>
      <c r="R69" s="1"/>
      <c r="S69" s="1"/>
    </row>
    <row r="70" spans="1:19" x14ac:dyDescent="0.25">
      <c r="A70" s="28" t="s">
        <v>418</v>
      </c>
      <c r="B70" s="182" t="s">
        <v>13</v>
      </c>
      <c r="C70" s="11" t="s">
        <v>475</v>
      </c>
      <c r="D70" s="20" t="s">
        <v>14</v>
      </c>
      <c r="E70" s="20">
        <v>1</v>
      </c>
      <c r="F70" s="29">
        <v>0</v>
      </c>
      <c r="G70" s="15"/>
      <c r="H70" s="29">
        <f t="shared" si="4"/>
        <v>0</v>
      </c>
      <c r="I70" s="15"/>
      <c r="J70" s="1"/>
      <c r="K70" s="1">
        <f>0.91*E70</f>
        <v>0.91</v>
      </c>
      <c r="P70" s="1"/>
      <c r="Q70" s="1"/>
      <c r="R70" s="1"/>
      <c r="S70" s="1"/>
    </row>
    <row r="71" spans="1:19" x14ac:dyDescent="0.25">
      <c r="A71" s="28" t="s">
        <v>478</v>
      </c>
      <c r="B71" s="182" t="s">
        <v>13</v>
      </c>
      <c r="C71" s="11" t="s">
        <v>476</v>
      </c>
      <c r="D71" s="20" t="s">
        <v>14</v>
      </c>
      <c r="E71" s="20">
        <v>1</v>
      </c>
      <c r="F71" s="29">
        <v>0</v>
      </c>
      <c r="G71" s="15"/>
      <c r="H71" s="29">
        <f t="shared" si="4"/>
        <v>0</v>
      </c>
      <c r="I71" s="15"/>
      <c r="J71" s="1"/>
      <c r="K71" s="1">
        <f>1.22*E71</f>
        <v>1.22</v>
      </c>
      <c r="P71" s="1"/>
      <c r="Q71" s="1"/>
      <c r="R71" s="1"/>
      <c r="S71" s="1"/>
    </row>
    <row r="72" spans="1:19" ht="63" customHeight="1" x14ac:dyDescent="0.25">
      <c r="A72" s="25" t="s">
        <v>32</v>
      </c>
      <c r="B72" s="201" t="s">
        <v>9</v>
      </c>
      <c r="C72" s="17" t="s">
        <v>167</v>
      </c>
      <c r="D72" s="19" t="s">
        <v>53</v>
      </c>
      <c r="E72" s="69">
        <v>11.93</v>
      </c>
      <c r="F72" s="29"/>
      <c r="G72" s="54">
        <v>0</v>
      </c>
      <c r="H72" s="29"/>
      <c r="I72" s="54">
        <f>E72*G72</f>
        <v>0</v>
      </c>
      <c r="J72" s="1"/>
      <c r="K72" s="1">
        <f>SUM(K74:K78)</f>
        <v>11.93</v>
      </c>
      <c r="P72" s="1"/>
      <c r="Q72" s="1"/>
      <c r="R72" s="1"/>
      <c r="S72" s="1"/>
    </row>
    <row r="73" spans="1:19" x14ac:dyDescent="0.25">
      <c r="A73" s="28" t="s">
        <v>33</v>
      </c>
      <c r="B73" s="182" t="s">
        <v>13</v>
      </c>
      <c r="C73" s="11" t="s">
        <v>54</v>
      </c>
      <c r="D73" s="20" t="s">
        <v>38</v>
      </c>
      <c r="E73" s="70">
        <f>2.25*E72</f>
        <v>26.84</v>
      </c>
      <c r="F73" s="29">
        <v>0</v>
      </c>
      <c r="G73" s="15"/>
      <c r="H73" s="29">
        <f t="shared" ref="H73:H78" si="5">E73*F73</f>
        <v>0</v>
      </c>
      <c r="I73" s="15"/>
      <c r="J73" s="1"/>
      <c r="K73" s="1"/>
      <c r="P73" s="1"/>
      <c r="Q73" s="1"/>
      <c r="R73" s="1"/>
      <c r="S73" s="1"/>
    </row>
    <row r="74" spans="1:19" ht="30" x14ac:dyDescent="0.25">
      <c r="A74" s="28" t="s">
        <v>34</v>
      </c>
      <c r="B74" s="182" t="s">
        <v>13</v>
      </c>
      <c r="C74" s="11" t="s">
        <v>168</v>
      </c>
      <c r="D74" s="20" t="s">
        <v>57</v>
      </c>
      <c r="E74" s="20">
        <v>0.9</v>
      </c>
      <c r="F74" s="29">
        <v>0</v>
      </c>
      <c r="G74" s="15"/>
      <c r="H74" s="29">
        <f t="shared" si="5"/>
        <v>0</v>
      </c>
      <c r="I74" s="15"/>
      <c r="J74" s="1"/>
      <c r="K74" s="1">
        <f>2.8*E74</f>
        <v>2.52</v>
      </c>
      <c r="P74" s="1"/>
      <c r="Q74" s="1"/>
      <c r="R74" s="1"/>
      <c r="S74" s="1"/>
    </row>
    <row r="75" spans="1:19" ht="30" x14ac:dyDescent="0.25">
      <c r="A75" s="28" t="s">
        <v>35</v>
      </c>
      <c r="B75" s="182" t="s">
        <v>13</v>
      </c>
      <c r="C75" s="11" t="s">
        <v>169</v>
      </c>
      <c r="D75" s="20" t="s">
        <v>57</v>
      </c>
      <c r="E75" s="20">
        <v>1.7</v>
      </c>
      <c r="F75" s="29">
        <v>0</v>
      </c>
      <c r="G75" s="15"/>
      <c r="H75" s="29">
        <f t="shared" si="5"/>
        <v>0</v>
      </c>
      <c r="I75" s="15"/>
      <c r="J75" s="1"/>
      <c r="K75" s="1">
        <f>2.8*E75</f>
        <v>4.76</v>
      </c>
      <c r="P75" s="1"/>
      <c r="Q75" s="1"/>
      <c r="R75" s="1"/>
      <c r="S75" s="1"/>
    </row>
    <row r="76" spans="1:19" x14ac:dyDescent="0.25">
      <c r="A76" s="28" t="s">
        <v>134</v>
      </c>
      <c r="B76" s="182" t="s">
        <v>13</v>
      </c>
      <c r="C76" s="64" t="s">
        <v>451</v>
      </c>
      <c r="D76" s="65" t="s">
        <v>14</v>
      </c>
      <c r="E76" s="65">
        <v>1</v>
      </c>
      <c r="F76" s="29">
        <v>0</v>
      </c>
      <c r="G76" s="15"/>
      <c r="H76" s="29">
        <f t="shared" si="5"/>
        <v>0</v>
      </c>
      <c r="I76" s="15"/>
      <c r="J76" s="1"/>
      <c r="K76" s="1">
        <v>0.62</v>
      </c>
      <c r="P76" s="1"/>
      <c r="Q76" s="1"/>
      <c r="R76" s="1"/>
      <c r="S76" s="1"/>
    </row>
    <row r="77" spans="1:19" ht="30" x14ac:dyDescent="0.25">
      <c r="A77" s="28" t="s">
        <v>135</v>
      </c>
      <c r="B77" s="182" t="s">
        <v>13</v>
      </c>
      <c r="C77" s="11" t="s">
        <v>170</v>
      </c>
      <c r="D77" s="20" t="s">
        <v>14</v>
      </c>
      <c r="E77" s="20">
        <v>1</v>
      </c>
      <c r="F77" s="29">
        <v>0</v>
      </c>
      <c r="G77" s="15"/>
      <c r="H77" s="29">
        <f t="shared" si="5"/>
        <v>0</v>
      </c>
      <c r="I77" s="15"/>
      <c r="J77" s="1"/>
      <c r="K77" s="1">
        <f>2.15*E77</f>
        <v>2.15</v>
      </c>
      <c r="P77" s="1"/>
      <c r="Q77" s="1"/>
      <c r="R77" s="1"/>
      <c r="S77" s="1"/>
    </row>
    <row r="78" spans="1:19" ht="30" x14ac:dyDescent="0.25">
      <c r="A78" s="28" t="s">
        <v>419</v>
      </c>
      <c r="B78" s="182" t="s">
        <v>13</v>
      </c>
      <c r="C78" s="11" t="s">
        <v>477</v>
      </c>
      <c r="D78" s="20" t="s">
        <v>14</v>
      </c>
      <c r="E78" s="20">
        <v>1</v>
      </c>
      <c r="F78" s="29">
        <v>0</v>
      </c>
      <c r="G78" s="15"/>
      <c r="H78" s="29">
        <f t="shared" si="5"/>
        <v>0</v>
      </c>
      <c r="I78" s="15"/>
      <c r="J78" s="1"/>
      <c r="K78" s="1">
        <f>1.88*E78</f>
        <v>1.88</v>
      </c>
      <c r="P78" s="1"/>
      <c r="Q78" s="1"/>
      <c r="R78" s="1"/>
      <c r="S78" s="1"/>
    </row>
    <row r="79" spans="1:19" ht="28.5" x14ac:dyDescent="0.25">
      <c r="A79" s="25" t="s">
        <v>36</v>
      </c>
      <c r="B79" s="201" t="s">
        <v>174</v>
      </c>
      <c r="C79" s="17" t="s">
        <v>47</v>
      </c>
      <c r="D79" s="19" t="s">
        <v>14</v>
      </c>
      <c r="E79" s="19">
        <v>9</v>
      </c>
      <c r="F79" s="27"/>
      <c r="G79" s="54">
        <v>0</v>
      </c>
      <c r="H79" s="27"/>
      <c r="I79" s="54">
        <f>E79*G79</f>
        <v>0</v>
      </c>
      <c r="J79" s="1"/>
      <c r="K79" s="1"/>
      <c r="P79" s="1"/>
      <c r="Q79" s="1"/>
      <c r="R79" s="1"/>
      <c r="S79" s="1"/>
    </row>
    <row r="80" spans="1:19" ht="30.75" customHeight="1" x14ac:dyDescent="0.25">
      <c r="A80" s="28" t="s">
        <v>37</v>
      </c>
      <c r="B80" s="182" t="s">
        <v>13</v>
      </c>
      <c r="C80" s="11" t="s">
        <v>171</v>
      </c>
      <c r="D80" s="20" t="s">
        <v>14</v>
      </c>
      <c r="E80" s="329">
        <v>3</v>
      </c>
      <c r="F80" s="29">
        <v>0</v>
      </c>
      <c r="G80" s="15"/>
      <c r="H80" s="29">
        <f>E80*F80</f>
        <v>0</v>
      </c>
      <c r="I80" s="15"/>
      <c r="J80" s="1"/>
      <c r="K80" s="1"/>
      <c r="P80" s="1"/>
      <c r="Q80" s="1"/>
      <c r="R80" s="1"/>
      <c r="S80" s="1"/>
    </row>
    <row r="81" spans="1:19" ht="29.25" customHeight="1" x14ac:dyDescent="0.25">
      <c r="A81" s="117" t="s">
        <v>224</v>
      </c>
      <c r="B81" s="182" t="s">
        <v>13</v>
      </c>
      <c r="C81" s="330" t="s">
        <v>172</v>
      </c>
      <c r="D81" s="331" t="s">
        <v>14</v>
      </c>
      <c r="E81" s="332">
        <v>4</v>
      </c>
      <c r="F81" s="333">
        <v>0</v>
      </c>
      <c r="G81" s="334"/>
      <c r="H81" s="333">
        <f>E81*F81</f>
        <v>0</v>
      </c>
      <c r="I81" s="334"/>
      <c r="J81" s="1"/>
      <c r="K81" s="1"/>
      <c r="P81" s="1"/>
      <c r="Q81" s="1"/>
      <c r="R81" s="1"/>
      <c r="S81" s="1"/>
    </row>
    <row r="82" spans="1:19" ht="30" x14ac:dyDescent="0.25">
      <c r="A82" s="117" t="s">
        <v>230</v>
      </c>
      <c r="B82" s="210" t="s">
        <v>13</v>
      </c>
      <c r="C82" s="330" t="s">
        <v>173</v>
      </c>
      <c r="D82" s="331" t="s">
        <v>56</v>
      </c>
      <c r="E82" s="331">
        <v>2</v>
      </c>
      <c r="F82" s="333">
        <v>0</v>
      </c>
      <c r="G82" s="334"/>
      <c r="H82" s="333">
        <f t="shared" ref="H82:H86" si="6">E82*F82</f>
        <v>0</v>
      </c>
      <c r="I82" s="334"/>
      <c r="J82" s="1"/>
      <c r="K82" s="1"/>
      <c r="P82" s="1"/>
      <c r="Q82" s="1"/>
      <c r="R82" s="1"/>
      <c r="S82" s="1"/>
    </row>
    <row r="83" spans="1:19" ht="28.5" x14ac:dyDescent="0.25">
      <c r="A83" s="25" t="s">
        <v>39</v>
      </c>
      <c r="B83" s="209" t="s">
        <v>9</v>
      </c>
      <c r="C83" s="17" t="s">
        <v>126</v>
      </c>
      <c r="D83" s="19" t="s">
        <v>14</v>
      </c>
      <c r="E83" s="19">
        <v>80</v>
      </c>
      <c r="F83" s="27"/>
      <c r="G83" s="54">
        <v>0</v>
      </c>
      <c r="H83" s="27"/>
      <c r="I83" s="54">
        <f>E83*G83</f>
        <v>0</v>
      </c>
      <c r="J83" s="1"/>
      <c r="K83" s="1"/>
      <c r="P83" s="1"/>
      <c r="Q83" s="1"/>
      <c r="R83" s="1"/>
      <c r="S83" s="1"/>
    </row>
    <row r="84" spans="1:19" x14ac:dyDescent="0.25">
      <c r="A84" s="28" t="s">
        <v>40</v>
      </c>
      <c r="B84" s="182" t="s">
        <v>13</v>
      </c>
      <c r="C84" s="11" t="s">
        <v>176</v>
      </c>
      <c r="D84" s="20" t="s">
        <v>14</v>
      </c>
      <c r="E84" s="20">
        <v>80</v>
      </c>
      <c r="F84" s="29">
        <v>0</v>
      </c>
      <c r="G84" s="54"/>
      <c r="H84" s="333">
        <f t="shared" si="6"/>
        <v>0</v>
      </c>
      <c r="I84" s="54"/>
      <c r="J84" s="1"/>
      <c r="K84" s="1"/>
      <c r="P84" s="1"/>
      <c r="Q84" s="1"/>
      <c r="R84" s="1"/>
      <c r="S84" s="1"/>
    </row>
    <row r="85" spans="1:19" ht="28.5" x14ac:dyDescent="0.25">
      <c r="A85" s="25" t="s">
        <v>233</v>
      </c>
      <c r="B85" s="209" t="s">
        <v>9</v>
      </c>
      <c r="C85" s="17" t="s">
        <v>460</v>
      </c>
      <c r="D85" s="19" t="s">
        <v>14</v>
      </c>
      <c r="E85" s="19">
        <v>81</v>
      </c>
      <c r="F85" s="27"/>
      <c r="G85" s="54">
        <v>0</v>
      </c>
      <c r="H85" s="27"/>
      <c r="I85" s="54">
        <f>E85*G85</f>
        <v>0</v>
      </c>
      <c r="J85" s="1"/>
      <c r="K85" s="1"/>
      <c r="P85" s="1"/>
      <c r="Q85" s="1"/>
      <c r="R85" s="1"/>
      <c r="S85" s="1"/>
    </row>
    <row r="86" spans="1:19" x14ac:dyDescent="0.25">
      <c r="A86" s="117" t="s">
        <v>42</v>
      </c>
      <c r="B86" s="182" t="s">
        <v>13</v>
      </c>
      <c r="C86" s="11" t="s">
        <v>175</v>
      </c>
      <c r="D86" s="20" t="s">
        <v>14</v>
      </c>
      <c r="E86" s="20">
        <v>96</v>
      </c>
      <c r="F86" s="29">
        <v>0</v>
      </c>
      <c r="G86" s="15"/>
      <c r="H86" s="333">
        <f t="shared" si="6"/>
        <v>0</v>
      </c>
      <c r="I86" s="15"/>
      <c r="J86" s="1"/>
      <c r="K86" s="1"/>
      <c r="P86" s="1"/>
      <c r="Q86" s="1"/>
      <c r="R86" s="1"/>
      <c r="S86" s="1"/>
    </row>
    <row r="87" spans="1:19" ht="28.5" x14ac:dyDescent="0.25">
      <c r="A87" s="221">
        <v>11</v>
      </c>
      <c r="B87" s="209" t="s">
        <v>9</v>
      </c>
      <c r="C87" s="17" t="s">
        <v>464</v>
      </c>
      <c r="D87" s="19" t="s">
        <v>14</v>
      </c>
      <c r="E87" s="19">
        <v>1</v>
      </c>
      <c r="F87" s="27"/>
      <c r="G87" s="54">
        <v>0</v>
      </c>
      <c r="H87" s="27"/>
      <c r="I87" s="54">
        <f>E87*G87</f>
        <v>0</v>
      </c>
      <c r="J87" s="1"/>
      <c r="K87" s="1"/>
      <c r="P87" s="1"/>
      <c r="Q87" s="1"/>
      <c r="R87" s="1"/>
      <c r="S87" s="1"/>
    </row>
    <row r="88" spans="1:19" x14ac:dyDescent="0.25">
      <c r="A88" s="28" t="s">
        <v>69</v>
      </c>
      <c r="B88" s="182" t="s">
        <v>13</v>
      </c>
      <c r="C88" s="11" t="s">
        <v>310</v>
      </c>
      <c r="D88" s="20" t="s">
        <v>14</v>
      </c>
      <c r="E88" s="20">
        <v>1</v>
      </c>
      <c r="F88" s="29">
        <v>0</v>
      </c>
      <c r="G88" s="15"/>
      <c r="H88" s="29">
        <f>E88*F88</f>
        <v>0</v>
      </c>
      <c r="I88" s="15"/>
      <c r="J88" s="1"/>
      <c r="K88" s="1"/>
      <c r="P88" s="1"/>
      <c r="Q88" s="1"/>
      <c r="R88" s="1"/>
      <c r="S88" s="1"/>
    </row>
    <row r="89" spans="1:19" ht="28.5" x14ac:dyDescent="0.25">
      <c r="A89" s="25" t="s">
        <v>239</v>
      </c>
      <c r="B89" s="209" t="s">
        <v>9</v>
      </c>
      <c r="C89" s="17" t="s">
        <v>465</v>
      </c>
      <c r="D89" s="19" t="s">
        <v>454</v>
      </c>
      <c r="E89" s="19">
        <v>5</v>
      </c>
      <c r="F89" s="27"/>
      <c r="G89" s="54">
        <v>0</v>
      </c>
      <c r="H89" s="27"/>
      <c r="I89" s="54">
        <f>E89*G89</f>
        <v>0</v>
      </c>
      <c r="J89" s="1"/>
      <c r="K89" s="1"/>
      <c r="P89" s="1"/>
      <c r="Q89" s="1"/>
      <c r="R89" s="1"/>
      <c r="S89" s="1"/>
    </row>
    <row r="90" spans="1:19" ht="28.5" x14ac:dyDescent="0.25">
      <c r="A90" s="25" t="s">
        <v>75</v>
      </c>
      <c r="B90" s="209" t="s">
        <v>9</v>
      </c>
      <c r="C90" s="17" t="s">
        <v>200</v>
      </c>
      <c r="D90" s="19" t="s">
        <v>53</v>
      </c>
      <c r="E90" s="19">
        <v>674.8</v>
      </c>
      <c r="F90" s="27"/>
      <c r="G90" s="54">
        <v>0</v>
      </c>
      <c r="H90" s="27"/>
      <c r="I90" s="54">
        <f>E90*G90</f>
        <v>0</v>
      </c>
      <c r="J90" s="1"/>
      <c r="K90" s="1"/>
      <c r="P90" s="1"/>
      <c r="Q90" s="1"/>
      <c r="R90" s="1"/>
      <c r="S90" s="1"/>
    </row>
    <row r="91" spans="1:19" x14ac:dyDescent="0.25">
      <c r="A91" s="118" t="s">
        <v>76</v>
      </c>
      <c r="B91" s="335" t="s">
        <v>13</v>
      </c>
      <c r="C91" s="167" t="s">
        <v>198</v>
      </c>
      <c r="D91" s="84" t="s">
        <v>53</v>
      </c>
      <c r="E91" s="84">
        <f>1.1*E90</f>
        <v>742.28</v>
      </c>
      <c r="F91" s="336">
        <v>0</v>
      </c>
      <c r="G91" s="112"/>
      <c r="H91" s="336">
        <f>E91*F91</f>
        <v>0</v>
      </c>
      <c r="I91" s="112"/>
      <c r="J91" s="1"/>
      <c r="K91" s="1"/>
      <c r="P91" s="1"/>
      <c r="Q91" s="1"/>
      <c r="R91" s="1"/>
      <c r="S91" s="1"/>
    </row>
    <row r="92" spans="1:19" x14ac:dyDescent="0.25">
      <c r="A92" s="118" t="s">
        <v>375</v>
      </c>
      <c r="B92" s="335" t="s">
        <v>13</v>
      </c>
      <c r="C92" s="167" t="s">
        <v>199</v>
      </c>
      <c r="D92" s="84" t="s">
        <v>38</v>
      </c>
      <c r="E92" s="84">
        <f>0.7*E90</f>
        <v>472.36</v>
      </c>
      <c r="F92" s="336">
        <v>0</v>
      </c>
      <c r="G92" s="112"/>
      <c r="H92" s="336">
        <f>E92*F92</f>
        <v>0</v>
      </c>
      <c r="I92" s="112"/>
      <c r="J92" s="1"/>
      <c r="K92" s="1"/>
      <c r="P92" s="1"/>
      <c r="Q92" s="1"/>
      <c r="R92" s="1"/>
      <c r="S92" s="1"/>
    </row>
    <row r="93" spans="1:19" x14ac:dyDescent="0.25">
      <c r="A93" s="155" t="s">
        <v>77</v>
      </c>
      <c r="B93" s="222" t="s">
        <v>9</v>
      </c>
      <c r="C93" s="220" t="s">
        <v>190</v>
      </c>
      <c r="D93" s="83" t="s">
        <v>53</v>
      </c>
      <c r="E93" s="83">
        <v>6</v>
      </c>
      <c r="F93" s="132"/>
      <c r="G93" s="59">
        <v>0</v>
      </c>
      <c r="H93" s="132"/>
      <c r="I93" s="59">
        <f>E93*G93</f>
        <v>0</v>
      </c>
      <c r="J93" s="1"/>
      <c r="K93" s="1"/>
      <c r="P93" s="1"/>
      <c r="Q93" s="1"/>
      <c r="R93" s="1"/>
      <c r="S93" s="1"/>
    </row>
    <row r="94" spans="1:19" x14ac:dyDescent="0.25">
      <c r="A94" s="118" t="s">
        <v>78</v>
      </c>
      <c r="B94" s="335" t="s">
        <v>13</v>
      </c>
      <c r="C94" s="167" t="s">
        <v>191</v>
      </c>
      <c r="D94" s="84" t="s">
        <v>53</v>
      </c>
      <c r="E94" s="84">
        <v>6</v>
      </c>
      <c r="F94" s="336">
        <v>0</v>
      </c>
      <c r="G94" s="112"/>
      <c r="H94" s="336">
        <f>E94*F94</f>
        <v>0</v>
      </c>
      <c r="I94" s="112"/>
      <c r="J94" s="1"/>
      <c r="K94" s="1"/>
      <c r="P94" s="1"/>
      <c r="Q94" s="1"/>
      <c r="R94" s="1"/>
      <c r="S94" s="1"/>
    </row>
    <row r="95" spans="1:19" ht="30.75" thickBot="1" x14ac:dyDescent="0.3">
      <c r="A95" s="117" t="s">
        <v>380</v>
      </c>
      <c r="B95" s="210" t="s">
        <v>13</v>
      </c>
      <c r="C95" s="330" t="s">
        <v>192</v>
      </c>
      <c r="D95" s="331" t="s">
        <v>53</v>
      </c>
      <c r="E95" s="331">
        <v>6</v>
      </c>
      <c r="F95" s="333">
        <v>0</v>
      </c>
      <c r="G95" s="334"/>
      <c r="H95" s="333">
        <f>E95*F95</f>
        <v>0</v>
      </c>
      <c r="I95" s="334"/>
      <c r="J95" s="1"/>
      <c r="K95" s="1"/>
      <c r="P95" s="1"/>
      <c r="Q95" s="1"/>
      <c r="R95" s="1"/>
      <c r="S95" s="1"/>
    </row>
    <row r="96" spans="1:19" ht="15.75" thickBot="1" x14ac:dyDescent="0.3">
      <c r="A96" s="78"/>
      <c r="B96" s="211"/>
      <c r="C96" s="238" t="s">
        <v>407</v>
      </c>
      <c r="D96" s="46"/>
      <c r="E96" s="46"/>
      <c r="F96" s="119"/>
      <c r="G96" s="50"/>
      <c r="H96" s="91">
        <f>SUM(H24:H95)</f>
        <v>0</v>
      </c>
      <c r="I96" s="81">
        <f>SUM(I23:I95)</f>
        <v>0</v>
      </c>
      <c r="J96" s="1"/>
      <c r="K96" s="1"/>
      <c r="P96" s="1"/>
      <c r="Q96" s="1"/>
      <c r="R96" s="1"/>
      <c r="S96" s="1"/>
    </row>
    <row r="97" spans="1:19" ht="15.75" thickBot="1" x14ac:dyDescent="0.3">
      <c r="A97" s="78"/>
      <c r="B97" s="183"/>
      <c r="C97" s="45" t="s">
        <v>302</v>
      </c>
      <c r="D97" s="46"/>
      <c r="E97" s="46"/>
      <c r="F97" s="119"/>
      <c r="G97" s="50"/>
      <c r="H97" s="119"/>
      <c r="I97" s="50"/>
      <c r="J97" s="1"/>
      <c r="K97" s="1"/>
      <c r="P97" s="1"/>
      <c r="Q97" s="1"/>
      <c r="R97" s="1"/>
      <c r="S97" s="1"/>
    </row>
    <row r="98" spans="1:19" ht="44.25" customHeight="1" x14ac:dyDescent="0.25">
      <c r="A98" s="61" t="s">
        <v>79</v>
      </c>
      <c r="B98" s="181" t="s">
        <v>9</v>
      </c>
      <c r="C98" s="62" t="s">
        <v>52</v>
      </c>
      <c r="D98" s="63" t="s">
        <v>53</v>
      </c>
      <c r="E98" s="63">
        <v>74.239999999999995</v>
      </c>
      <c r="F98" s="88"/>
      <c r="G98" s="40">
        <v>0</v>
      </c>
      <c r="H98" s="88"/>
      <c r="I98" s="40">
        <f>E98*G98</f>
        <v>0</v>
      </c>
      <c r="J98" s="1"/>
      <c r="K98" s="1">
        <f>K100+K101+K102+K103+K104</f>
        <v>74.239999999999995</v>
      </c>
      <c r="P98" s="1"/>
      <c r="Q98" s="1"/>
      <c r="R98" s="1"/>
      <c r="S98" s="1"/>
    </row>
    <row r="99" spans="1:19" x14ac:dyDescent="0.25">
      <c r="A99" s="28" t="s">
        <v>80</v>
      </c>
      <c r="B99" s="182" t="s">
        <v>13</v>
      </c>
      <c r="C99" s="64" t="s">
        <v>54</v>
      </c>
      <c r="D99" s="65" t="s">
        <v>38</v>
      </c>
      <c r="E99" s="66">
        <f>0.606*E98</f>
        <v>44.99</v>
      </c>
      <c r="F99" s="29">
        <v>0</v>
      </c>
      <c r="G99" s="15"/>
      <c r="H99" s="29">
        <f>E99*F99</f>
        <v>0</v>
      </c>
      <c r="I99" s="15"/>
      <c r="J99" s="1"/>
      <c r="K99" s="1"/>
      <c r="P99" s="1"/>
      <c r="Q99" s="1"/>
      <c r="R99" s="1"/>
      <c r="S99" s="1"/>
    </row>
    <row r="100" spans="1:19" x14ac:dyDescent="0.25">
      <c r="A100" s="28" t="s">
        <v>81</v>
      </c>
      <c r="B100" s="182" t="s">
        <v>13</v>
      </c>
      <c r="C100" s="64" t="s">
        <v>55</v>
      </c>
      <c r="D100" s="65" t="s">
        <v>57</v>
      </c>
      <c r="E100" s="65">
        <v>119.3</v>
      </c>
      <c r="F100" s="29">
        <v>0</v>
      </c>
      <c r="G100" s="15"/>
      <c r="H100" s="29">
        <f>E100*F100</f>
        <v>0</v>
      </c>
      <c r="I100" s="15"/>
      <c r="J100" s="1"/>
      <c r="K100" s="1">
        <v>37.479999999999997</v>
      </c>
      <c r="P100" s="1"/>
      <c r="Q100" s="1"/>
      <c r="R100" s="1"/>
      <c r="S100" s="1"/>
    </row>
    <row r="101" spans="1:19" ht="30" x14ac:dyDescent="0.25">
      <c r="A101" s="28" t="s">
        <v>376</v>
      </c>
      <c r="B101" s="182" t="s">
        <v>13</v>
      </c>
      <c r="C101" s="328" t="s">
        <v>156</v>
      </c>
      <c r="D101" s="65" t="s">
        <v>14</v>
      </c>
      <c r="E101" s="65">
        <v>112</v>
      </c>
      <c r="F101" s="29">
        <v>0</v>
      </c>
      <c r="G101" s="15"/>
      <c r="H101" s="29">
        <f t="shared" ref="H101:H102" si="7">E101*F101</f>
        <v>0</v>
      </c>
      <c r="I101" s="15"/>
      <c r="J101" s="1"/>
      <c r="K101" s="1">
        <f>0.09*E101</f>
        <v>10.08</v>
      </c>
      <c r="P101" s="1"/>
      <c r="Q101" s="1"/>
      <c r="R101" s="1"/>
      <c r="S101" s="1"/>
    </row>
    <row r="102" spans="1:19" ht="30" x14ac:dyDescent="0.25">
      <c r="A102" s="28" t="s">
        <v>377</v>
      </c>
      <c r="B102" s="182" t="s">
        <v>13</v>
      </c>
      <c r="C102" s="328" t="s">
        <v>157</v>
      </c>
      <c r="D102" s="65" t="s">
        <v>14</v>
      </c>
      <c r="E102" s="65">
        <v>64</v>
      </c>
      <c r="F102" s="29">
        <v>0</v>
      </c>
      <c r="G102" s="15"/>
      <c r="H102" s="29">
        <f t="shared" si="7"/>
        <v>0</v>
      </c>
      <c r="I102" s="15"/>
      <c r="J102" s="1"/>
      <c r="K102" s="1">
        <f>0.11*E102</f>
        <v>7.04</v>
      </c>
      <c r="P102" s="1"/>
      <c r="Q102" s="1"/>
      <c r="R102" s="1"/>
      <c r="S102" s="1"/>
    </row>
    <row r="103" spans="1:19" ht="28.5" customHeight="1" x14ac:dyDescent="0.25">
      <c r="A103" s="28" t="s">
        <v>378</v>
      </c>
      <c r="B103" s="182" t="s">
        <v>13</v>
      </c>
      <c r="C103" s="328" t="s">
        <v>441</v>
      </c>
      <c r="D103" s="65" t="s">
        <v>14</v>
      </c>
      <c r="E103" s="65">
        <v>2</v>
      </c>
      <c r="F103" s="29">
        <v>0</v>
      </c>
      <c r="G103" s="15"/>
      <c r="H103" s="29">
        <f>E103*F103</f>
        <v>0</v>
      </c>
      <c r="I103" s="15"/>
      <c r="J103" s="1"/>
      <c r="K103" s="1">
        <f>0.07*E103</f>
        <v>0.14000000000000001</v>
      </c>
      <c r="P103" s="1"/>
      <c r="Q103" s="1"/>
      <c r="R103" s="1"/>
      <c r="S103" s="1"/>
    </row>
    <row r="104" spans="1:19" x14ac:dyDescent="0.25">
      <c r="A104" s="28" t="s">
        <v>379</v>
      </c>
      <c r="B104" s="182" t="s">
        <v>13</v>
      </c>
      <c r="C104" s="328" t="s">
        <v>428</v>
      </c>
      <c r="D104" s="65" t="s">
        <v>14</v>
      </c>
      <c r="E104" s="65">
        <v>195</v>
      </c>
      <c r="F104" s="29">
        <v>0</v>
      </c>
      <c r="G104" s="15"/>
      <c r="H104" s="29">
        <f>E104*F104</f>
        <v>0</v>
      </c>
      <c r="I104" s="15"/>
      <c r="J104" s="1"/>
      <c r="K104" s="1">
        <f>0.1*E104</f>
        <v>19.5</v>
      </c>
      <c r="P104" s="1"/>
      <c r="Q104" s="1"/>
      <c r="R104" s="1"/>
      <c r="S104" s="1"/>
    </row>
    <row r="105" spans="1:19" ht="46.5" customHeight="1" x14ac:dyDescent="0.25">
      <c r="A105" s="25" t="s">
        <v>85</v>
      </c>
      <c r="B105" s="201" t="s">
        <v>9</v>
      </c>
      <c r="C105" s="68" t="s">
        <v>136</v>
      </c>
      <c r="D105" s="69" t="s">
        <v>53</v>
      </c>
      <c r="E105" s="69">
        <v>120.7</v>
      </c>
      <c r="F105" s="27"/>
      <c r="G105" s="54">
        <v>0</v>
      </c>
      <c r="H105" s="27"/>
      <c r="I105" s="54">
        <f>E105*G105</f>
        <v>0</v>
      </c>
      <c r="J105" s="1"/>
      <c r="K105" s="1">
        <f>K107+K108+K109+K110+K111</f>
        <v>120.7</v>
      </c>
      <c r="P105" s="1"/>
      <c r="Q105" s="1"/>
      <c r="R105" s="1"/>
      <c r="S105" s="1"/>
    </row>
    <row r="106" spans="1:19" ht="23.25" customHeight="1" x14ac:dyDescent="0.25">
      <c r="A106" s="28" t="s">
        <v>86</v>
      </c>
      <c r="B106" s="182" t="s">
        <v>13</v>
      </c>
      <c r="C106" s="64" t="s">
        <v>54</v>
      </c>
      <c r="D106" s="65" t="s">
        <v>38</v>
      </c>
      <c r="E106" s="66">
        <f>0.606*E105</f>
        <v>73.14</v>
      </c>
      <c r="F106" s="29">
        <v>0</v>
      </c>
      <c r="G106" s="15"/>
      <c r="H106" s="29">
        <f t="shared" ref="H106:H112" si="8">E106*F106</f>
        <v>0</v>
      </c>
      <c r="I106" s="15"/>
      <c r="J106" s="1"/>
      <c r="K106" s="1"/>
      <c r="P106" s="1"/>
      <c r="Q106" s="1"/>
      <c r="R106" s="1"/>
      <c r="S106" s="1"/>
    </row>
    <row r="107" spans="1:19" x14ac:dyDescent="0.25">
      <c r="A107" s="28" t="s">
        <v>384</v>
      </c>
      <c r="B107" s="182" t="s">
        <v>13</v>
      </c>
      <c r="C107" s="64" t="s">
        <v>138</v>
      </c>
      <c r="D107" s="65" t="s">
        <v>57</v>
      </c>
      <c r="E107" s="65">
        <v>311</v>
      </c>
      <c r="F107" s="29">
        <v>0</v>
      </c>
      <c r="G107" s="15"/>
      <c r="H107" s="29">
        <f t="shared" si="8"/>
        <v>0</v>
      </c>
      <c r="I107" s="15"/>
      <c r="J107" s="1"/>
      <c r="K107" s="1">
        <v>97.7</v>
      </c>
      <c r="P107" s="1"/>
      <c r="Q107" s="1"/>
      <c r="R107" s="1"/>
      <c r="S107" s="1"/>
    </row>
    <row r="108" spans="1:19" x14ac:dyDescent="0.25">
      <c r="A108" s="28" t="s">
        <v>387</v>
      </c>
      <c r="B108" s="182" t="s">
        <v>13</v>
      </c>
      <c r="C108" s="64" t="s">
        <v>141</v>
      </c>
      <c r="D108" s="65" t="s">
        <v>14</v>
      </c>
      <c r="E108" s="65">
        <v>175</v>
      </c>
      <c r="F108" s="29">
        <v>0</v>
      </c>
      <c r="G108" s="15"/>
      <c r="H108" s="29">
        <f t="shared" si="8"/>
        <v>0</v>
      </c>
      <c r="I108" s="15"/>
      <c r="J108" s="1"/>
      <c r="K108" s="1">
        <f>0.03*E108</f>
        <v>5.25</v>
      </c>
      <c r="P108" s="1"/>
      <c r="Q108" s="1"/>
      <c r="R108" s="1"/>
      <c r="S108" s="1"/>
    </row>
    <row r="109" spans="1:19" x14ac:dyDescent="0.25">
      <c r="A109" s="28" t="s">
        <v>386</v>
      </c>
      <c r="B109" s="182" t="s">
        <v>13</v>
      </c>
      <c r="C109" s="64" t="s">
        <v>453</v>
      </c>
      <c r="D109" s="65" t="s">
        <v>14</v>
      </c>
      <c r="E109" s="65">
        <v>2</v>
      </c>
      <c r="F109" s="29">
        <v>0</v>
      </c>
      <c r="G109" s="15"/>
      <c r="H109" s="29">
        <f t="shared" si="8"/>
        <v>0</v>
      </c>
      <c r="I109" s="15"/>
      <c r="J109" s="1"/>
      <c r="K109" s="1">
        <f>0.06*E109</f>
        <v>0.12</v>
      </c>
      <c r="P109" s="1"/>
      <c r="Q109" s="1"/>
      <c r="R109" s="1"/>
      <c r="S109" s="1"/>
    </row>
    <row r="110" spans="1:19" x14ac:dyDescent="0.25">
      <c r="A110" s="28" t="s">
        <v>388</v>
      </c>
      <c r="B110" s="182" t="s">
        <v>13</v>
      </c>
      <c r="C110" s="64" t="s">
        <v>427</v>
      </c>
      <c r="D110" s="65" t="s">
        <v>14</v>
      </c>
      <c r="E110" s="65">
        <v>175</v>
      </c>
      <c r="F110" s="29">
        <v>0</v>
      </c>
      <c r="G110" s="15"/>
      <c r="H110" s="29">
        <f t="shared" si="8"/>
        <v>0</v>
      </c>
      <c r="I110" s="15"/>
      <c r="J110" s="1"/>
      <c r="K110" s="1">
        <f>0.1*E110</f>
        <v>17.5</v>
      </c>
      <c r="P110" s="1"/>
      <c r="Q110" s="1"/>
      <c r="R110" s="1"/>
      <c r="S110" s="1"/>
    </row>
    <row r="111" spans="1:19" ht="30" x14ac:dyDescent="0.25">
      <c r="A111" s="28" t="s">
        <v>385</v>
      </c>
      <c r="B111" s="182" t="s">
        <v>13</v>
      </c>
      <c r="C111" s="64" t="s">
        <v>450</v>
      </c>
      <c r="D111" s="65" t="s">
        <v>14</v>
      </c>
      <c r="E111" s="65">
        <v>1</v>
      </c>
      <c r="F111" s="29">
        <v>0</v>
      </c>
      <c r="G111" s="15"/>
      <c r="H111" s="29">
        <f t="shared" si="8"/>
        <v>0</v>
      </c>
      <c r="I111" s="15"/>
      <c r="J111" s="1"/>
      <c r="K111" s="1">
        <f>0.13*E111</f>
        <v>0.13</v>
      </c>
      <c r="P111" s="1"/>
      <c r="Q111" s="1"/>
      <c r="R111" s="1"/>
      <c r="S111" s="1"/>
    </row>
    <row r="112" spans="1:19" ht="28.5" customHeight="1" x14ac:dyDescent="0.25">
      <c r="A112" s="28" t="s">
        <v>389</v>
      </c>
      <c r="B112" s="182" t="s">
        <v>13</v>
      </c>
      <c r="C112" s="11" t="s">
        <v>139</v>
      </c>
      <c r="D112" s="20" t="s">
        <v>14</v>
      </c>
      <c r="E112" s="20">
        <v>176</v>
      </c>
      <c r="F112" s="29">
        <v>0</v>
      </c>
      <c r="G112" s="15"/>
      <c r="H112" s="29">
        <f t="shared" si="8"/>
        <v>0</v>
      </c>
      <c r="I112" s="15"/>
      <c r="J112" s="1"/>
      <c r="K112" s="1"/>
      <c r="P112" s="1"/>
      <c r="Q112" s="1"/>
      <c r="R112" s="1"/>
      <c r="S112" s="1"/>
    </row>
    <row r="113" spans="1:19" ht="42.75" x14ac:dyDescent="0.25">
      <c r="A113" s="25" t="s">
        <v>87</v>
      </c>
      <c r="B113" s="209" t="s">
        <v>9</v>
      </c>
      <c r="C113" s="220" t="s">
        <v>140</v>
      </c>
      <c r="D113" s="19" t="s">
        <v>53</v>
      </c>
      <c r="E113" s="19">
        <v>189.82</v>
      </c>
      <c r="F113" s="27"/>
      <c r="G113" s="54">
        <v>0</v>
      </c>
      <c r="H113" s="27"/>
      <c r="I113" s="54">
        <f>E113*G113</f>
        <v>0</v>
      </c>
      <c r="J113" s="1"/>
      <c r="K113" s="1">
        <f>SUM(K115:K121)</f>
        <v>189.82</v>
      </c>
      <c r="P113" s="1"/>
      <c r="Q113" s="1"/>
      <c r="R113" s="1"/>
      <c r="S113" s="1"/>
    </row>
    <row r="114" spans="1:19" x14ac:dyDescent="0.25">
      <c r="A114" s="28" t="s">
        <v>88</v>
      </c>
      <c r="B114" s="182" t="s">
        <v>13</v>
      </c>
      <c r="C114" s="167" t="s">
        <v>149</v>
      </c>
      <c r="D114" s="20" t="s">
        <v>38</v>
      </c>
      <c r="E114" s="70">
        <f>0.712*E113</f>
        <v>135.15</v>
      </c>
      <c r="F114" s="29">
        <v>0</v>
      </c>
      <c r="G114" s="15"/>
      <c r="H114" s="29">
        <f t="shared" ref="H114:H121" si="9">E114*F114</f>
        <v>0</v>
      </c>
      <c r="I114" s="15"/>
      <c r="J114" s="1"/>
      <c r="K114" s="1"/>
      <c r="P114" s="1"/>
      <c r="Q114" s="1"/>
      <c r="R114" s="1"/>
      <c r="S114" s="1"/>
    </row>
    <row r="115" spans="1:19" x14ac:dyDescent="0.25">
      <c r="A115" s="28" t="s">
        <v>89</v>
      </c>
      <c r="B115" s="182" t="s">
        <v>13</v>
      </c>
      <c r="C115" s="167" t="s">
        <v>143</v>
      </c>
      <c r="D115" s="20" t="s">
        <v>57</v>
      </c>
      <c r="E115" s="20">
        <v>138.80000000000001</v>
      </c>
      <c r="F115" s="29">
        <v>0</v>
      </c>
      <c r="G115" s="15"/>
      <c r="H115" s="29">
        <f t="shared" si="9"/>
        <v>0</v>
      </c>
      <c r="I115" s="15"/>
      <c r="J115" s="1"/>
      <c r="K115" s="1">
        <f>0.8*E115</f>
        <v>111.04</v>
      </c>
      <c r="P115" s="1"/>
      <c r="Q115" s="1"/>
      <c r="R115" s="1"/>
      <c r="S115" s="1"/>
    </row>
    <row r="116" spans="1:19" x14ac:dyDescent="0.25">
      <c r="A116" s="28" t="s">
        <v>90</v>
      </c>
      <c r="B116" s="182" t="s">
        <v>13</v>
      </c>
      <c r="C116" s="167" t="s">
        <v>144</v>
      </c>
      <c r="D116" s="20" t="s">
        <v>57</v>
      </c>
      <c r="E116" s="20">
        <v>91.5</v>
      </c>
      <c r="F116" s="29">
        <v>0</v>
      </c>
      <c r="G116" s="15"/>
      <c r="H116" s="29">
        <f t="shared" si="9"/>
        <v>0</v>
      </c>
      <c r="I116" s="15"/>
      <c r="J116" s="1"/>
      <c r="K116" s="1">
        <f>0.8*E116</f>
        <v>73.2</v>
      </c>
      <c r="P116" s="1"/>
      <c r="Q116" s="1"/>
      <c r="R116" s="1"/>
      <c r="S116" s="1"/>
    </row>
    <row r="117" spans="1:19" x14ac:dyDescent="0.25">
      <c r="A117" s="28" t="s">
        <v>390</v>
      </c>
      <c r="B117" s="182" t="s">
        <v>13</v>
      </c>
      <c r="C117" s="167" t="s">
        <v>177</v>
      </c>
      <c r="D117" s="20" t="s">
        <v>57</v>
      </c>
      <c r="E117" s="20">
        <v>2.2000000000000002</v>
      </c>
      <c r="F117" s="29">
        <v>0</v>
      </c>
      <c r="G117" s="15"/>
      <c r="H117" s="29">
        <f t="shared" si="9"/>
        <v>0</v>
      </c>
      <c r="I117" s="15"/>
      <c r="J117" s="1"/>
      <c r="K117" s="1">
        <f>1*E117</f>
        <v>2.2000000000000002</v>
      </c>
      <c r="P117" s="1"/>
      <c r="Q117" s="1"/>
      <c r="R117" s="1"/>
      <c r="S117" s="1"/>
    </row>
    <row r="118" spans="1:19" x14ac:dyDescent="0.25">
      <c r="A118" s="28" t="s">
        <v>391</v>
      </c>
      <c r="B118" s="182" t="s">
        <v>13</v>
      </c>
      <c r="C118" s="167" t="s">
        <v>145</v>
      </c>
      <c r="D118" s="20" t="s">
        <v>14</v>
      </c>
      <c r="E118" s="20">
        <v>3</v>
      </c>
      <c r="F118" s="29">
        <v>0</v>
      </c>
      <c r="G118" s="15"/>
      <c r="H118" s="29">
        <f t="shared" si="9"/>
        <v>0</v>
      </c>
      <c r="I118" s="15"/>
      <c r="J118" s="1"/>
      <c r="K118" s="1">
        <f>0.12*E118</f>
        <v>0.36</v>
      </c>
      <c r="P118" s="1"/>
      <c r="Q118" s="1"/>
      <c r="R118" s="1"/>
      <c r="S118" s="1"/>
    </row>
    <row r="119" spans="1:19" ht="30" x14ac:dyDescent="0.25">
      <c r="A119" s="28" t="s">
        <v>392</v>
      </c>
      <c r="B119" s="182" t="s">
        <v>13</v>
      </c>
      <c r="C119" s="167" t="s">
        <v>178</v>
      </c>
      <c r="D119" s="20" t="s">
        <v>14</v>
      </c>
      <c r="E119" s="20">
        <v>1</v>
      </c>
      <c r="F119" s="29">
        <v>0</v>
      </c>
      <c r="G119" s="15"/>
      <c r="H119" s="29">
        <f t="shared" si="9"/>
        <v>0</v>
      </c>
      <c r="I119" s="15"/>
      <c r="J119" s="1"/>
      <c r="K119" s="1">
        <f>0.41*E119</f>
        <v>0.41</v>
      </c>
      <c r="P119" s="1"/>
      <c r="Q119" s="1"/>
      <c r="R119" s="1"/>
      <c r="S119" s="1"/>
    </row>
    <row r="120" spans="1:19" ht="30" x14ac:dyDescent="0.25">
      <c r="A120" s="28" t="s">
        <v>393</v>
      </c>
      <c r="B120" s="182" t="s">
        <v>13</v>
      </c>
      <c r="C120" s="167" t="s">
        <v>147</v>
      </c>
      <c r="D120" s="20" t="s">
        <v>14</v>
      </c>
      <c r="E120" s="20">
        <v>2</v>
      </c>
      <c r="F120" s="29">
        <v>0</v>
      </c>
      <c r="G120" s="15"/>
      <c r="H120" s="29">
        <f t="shared" si="9"/>
        <v>0</v>
      </c>
      <c r="I120" s="15"/>
      <c r="J120" s="1"/>
      <c r="K120" s="1">
        <f>0.33*E120</f>
        <v>0.66</v>
      </c>
      <c r="P120" s="1"/>
      <c r="Q120" s="1"/>
      <c r="R120" s="1"/>
      <c r="S120" s="1"/>
    </row>
    <row r="121" spans="1:19" ht="28.5" customHeight="1" x14ac:dyDescent="0.25">
      <c r="A121" s="28" t="s">
        <v>394</v>
      </c>
      <c r="B121" s="182" t="s">
        <v>13</v>
      </c>
      <c r="C121" s="167" t="s">
        <v>148</v>
      </c>
      <c r="D121" s="20" t="s">
        <v>14</v>
      </c>
      <c r="E121" s="20">
        <v>5</v>
      </c>
      <c r="F121" s="29">
        <v>0</v>
      </c>
      <c r="G121" s="15"/>
      <c r="H121" s="29">
        <f t="shared" si="9"/>
        <v>0</v>
      </c>
      <c r="I121" s="15"/>
      <c r="J121" s="1"/>
      <c r="K121" s="1">
        <f>0.39*E121</f>
        <v>1.95</v>
      </c>
      <c r="P121" s="1"/>
      <c r="Q121" s="1"/>
      <c r="R121" s="1"/>
      <c r="S121" s="1"/>
    </row>
    <row r="122" spans="1:19" ht="42.75" x14ac:dyDescent="0.25">
      <c r="A122" s="25" t="s">
        <v>91</v>
      </c>
      <c r="B122" s="201" t="s">
        <v>9</v>
      </c>
      <c r="C122" s="68" t="s">
        <v>150</v>
      </c>
      <c r="D122" s="19" t="s">
        <v>53</v>
      </c>
      <c r="E122" s="69">
        <v>292.73</v>
      </c>
      <c r="F122" s="27"/>
      <c r="G122" s="54">
        <v>0</v>
      </c>
      <c r="H122" s="27"/>
      <c r="I122" s="54">
        <f>E122*G122</f>
        <v>0</v>
      </c>
      <c r="J122" s="1"/>
      <c r="K122" s="1">
        <f>SUM(K124:K136)</f>
        <v>292.73</v>
      </c>
      <c r="P122" s="1"/>
      <c r="Q122" s="1"/>
      <c r="R122" s="1"/>
      <c r="S122" s="1"/>
    </row>
    <row r="123" spans="1:19" x14ac:dyDescent="0.25">
      <c r="A123" s="28" t="s">
        <v>92</v>
      </c>
      <c r="B123" s="182" t="s">
        <v>13</v>
      </c>
      <c r="C123" s="11" t="s">
        <v>54</v>
      </c>
      <c r="D123" s="20" t="s">
        <v>38</v>
      </c>
      <c r="E123" s="70">
        <v>0</v>
      </c>
      <c r="F123" s="29">
        <v>0</v>
      </c>
      <c r="G123" s="15"/>
      <c r="H123" s="29">
        <f t="shared" ref="H123:H136" si="10">E123*F123</f>
        <v>0</v>
      </c>
      <c r="I123" s="15"/>
      <c r="J123" s="1"/>
      <c r="K123" s="1"/>
      <c r="P123" s="1"/>
      <c r="Q123" s="1"/>
      <c r="R123" s="1"/>
      <c r="S123" s="1"/>
    </row>
    <row r="124" spans="1:19" x14ac:dyDescent="0.25">
      <c r="A124" s="28" t="s">
        <v>93</v>
      </c>
      <c r="B124" s="182" t="s">
        <v>13</v>
      </c>
      <c r="C124" s="11" t="s">
        <v>179</v>
      </c>
      <c r="D124" s="20" t="s">
        <v>57</v>
      </c>
      <c r="E124" s="20">
        <v>45.3</v>
      </c>
      <c r="F124" s="29">
        <v>0</v>
      </c>
      <c r="G124" s="15"/>
      <c r="H124" s="29">
        <f t="shared" si="10"/>
        <v>0</v>
      </c>
      <c r="I124" s="15"/>
      <c r="J124" s="1"/>
      <c r="K124" s="1">
        <f>1.1*E124</f>
        <v>49.83</v>
      </c>
      <c r="P124" s="1"/>
      <c r="Q124" s="1"/>
      <c r="R124" s="1"/>
      <c r="S124" s="1"/>
    </row>
    <row r="125" spans="1:19" x14ac:dyDescent="0.25">
      <c r="A125" s="28" t="s">
        <v>94</v>
      </c>
      <c r="B125" s="182" t="s">
        <v>13</v>
      </c>
      <c r="C125" s="11" t="s">
        <v>151</v>
      </c>
      <c r="D125" s="20" t="s">
        <v>57</v>
      </c>
      <c r="E125" s="20">
        <v>136.30000000000001</v>
      </c>
      <c r="F125" s="29">
        <v>0</v>
      </c>
      <c r="G125" s="15"/>
      <c r="H125" s="29">
        <f t="shared" si="10"/>
        <v>0</v>
      </c>
      <c r="I125" s="15"/>
      <c r="J125" s="1"/>
      <c r="K125" s="1">
        <f>1.3*E125</f>
        <v>177.19</v>
      </c>
      <c r="P125" s="1"/>
      <c r="Q125" s="1"/>
      <c r="R125" s="1"/>
      <c r="S125" s="1"/>
    </row>
    <row r="126" spans="1:19" x14ac:dyDescent="0.25">
      <c r="A126" s="28" t="s">
        <v>398</v>
      </c>
      <c r="B126" s="182" t="s">
        <v>13</v>
      </c>
      <c r="C126" s="11" t="s">
        <v>180</v>
      </c>
      <c r="D126" s="20" t="s">
        <v>57</v>
      </c>
      <c r="E126" s="65">
        <v>0.2</v>
      </c>
      <c r="F126" s="29">
        <v>0</v>
      </c>
      <c r="G126" s="15"/>
      <c r="H126" s="29">
        <f t="shared" si="10"/>
        <v>0</v>
      </c>
      <c r="I126" s="15"/>
      <c r="J126" s="1"/>
      <c r="K126" s="1">
        <f>1.1*E126</f>
        <v>0.22</v>
      </c>
      <c r="P126" s="1"/>
      <c r="Q126" s="1"/>
      <c r="R126" s="1"/>
      <c r="S126" s="1"/>
    </row>
    <row r="127" spans="1:19" x14ac:dyDescent="0.25">
      <c r="A127" s="28" t="s">
        <v>399</v>
      </c>
      <c r="B127" s="182" t="s">
        <v>13</v>
      </c>
      <c r="C127" s="11" t="s">
        <v>153</v>
      </c>
      <c r="D127" s="20" t="s">
        <v>57</v>
      </c>
      <c r="E127" s="20">
        <v>43.8</v>
      </c>
      <c r="F127" s="29">
        <v>0</v>
      </c>
      <c r="G127" s="15"/>
      <c r="H127" s="29">
        <f t="shared" si="10"/>
        <v>0</v>
      </c>
      <c r="I127" s="15"/>
      <c r="J127" s="1"/>
      <c r="K127" s="1">
        <f>1.3*E127</f>
        <v>56.94</v>
      </c>
      <c r="P127" s="1"/>
      <c r="Q127" s="1"/>
      <c r="R127" s="1"/>
      <c r="S127" s="1"/>
    </row>
    <row r="128" spans="1:19" x14ac:dyDescent="0.25">
      <c r="A128" s="28" t="s">
        <v>400</v>
      </c>
      <c r="B128" s="182" t="s">
        <v>13</v>
      </c>
      <c r="C128" s="11" t="s">
        <v>181</v>
      </c>
      <c r="D128" s="20" t="s">
        <v>57</v>
      </c>
      <c r="E128" s="20">
        <v>0.7</v>
      </c>
      <c r="F128" s="29">
        <v>0</v>
      </c>
      <c r="G128" s="15"/>
      <c r="H128" s="29">
        <f t="shared" si="10"/>
        <v>0</v>
      </c>
      <c r="I128" s="15"/>
      <c r="J128" s="1"/>
      <c r="K128" s="1">
        <f>1.4*E128</f>
        <v>0.98</v>
      </c>
      <c r="P128" s="1"/>
      <c r="Q128" s="1"/>
      <c r="R128" s="1"/>
      <c r="S128" s="1"/>
    </row>
    <row r="129" spans="1:19" x14ac:dyDescent="0.25">
      <c r="A129" s="28" t="s">
        <v>401</v>
      </c>
      <c r="B129" s="182" t="s">
        <v>13</v>
      </c>
      <c r="C129" s="11" t="s">
        <v>182</v>
      </c>
      <c r="D129" s="20" t="s">
        <v>14</v>
      </c>
      <c r="E129" s="20">
        <v>1</v>
      </c>
      <c r="F129" s="29">
        <v>0</v>
      </c>
      <c r="G129" s="15"/>
      <c r="H129" s="29">
        <f t="shared" si="10"/>
        <v>0</v>
      </c>
      <c r="I129" s="15"/>
      <c r="J129" s="1"/>
      <c r="K129" s="1">
        <f>0.39*E129</f>
        <v>0.39</v>
      </c>
      <c r="P129" s="1"/>
      <c r="Q129" s="1"/>
      <c r="R129" s="1"/>
      <c r="S129" s="1"/>
    </row>
    <row r="130" spans="1:19" x14ac:dyDescent="0.25">
      <c r="A130" s="28" t="s">
        <v>420</v>
      </c>
      <c r="B130" s="182" t="s">
        <v>13</v>
      </c>
      <c r="C130" s="11" t="s">
        <v>158</v>
      </c>
      <c r="D130" s="20" t="s">
        <v>14</v>
      </c>
      <c r="E130" s="20">
        <v>4</v>
      </c>
      <c r="F130" s="29">
        <v>0</v>
      </c>
      <c r="G130" s="15"/>
      <c r="H130" s="29">
        <f t="shared" si="10"/>
        <v>0</v>
      </c>
      <c r="I130" s="15"/>
      <c r="J130" s="1"/>
      <c r="K130" s="1">
        <f>0.46*E130</f>
        <v>1.84</v>
      </c>
      <c r="P130" s="1"/>
      <c r="Q130" s="1"/>
      <c r="R130" s="1"/>
      <c r="S130" s="1"/>
    </row>
    <row r="131" spans="1:19" x14ac:dyDescent="0.25">
      <c r="A131" s="28" t="s">
        <v>421</v>
      </c>
      <c r="B131" s="182" t="s">
        <v>13</v>
      </c>
      <c r="C131" s="11" t="s">
        <v>183</v>
      </c>
      <c r="D131" s="20" t="s">
        <v>14</v>
      </c>
      <c r="E131" s="20">
        <v>1</v>
      </c>
      <c r="F131" s="29">
        <v>0</v>
      </c>
      <c r="G131" s="15"/>
      <c r="H131" s="29">
        <f t="shared" si="10"/>
        <v>0</v>
      </c>
      <c r="I131" s="15"/>
      <c r="J131" s="1"/>
      <c r="K131" s="1">
        <f>0.13*E131</f>
        <v>0.13</v>
      </c>
      <c r="P131" s="1"/>
      <c r="Q131" s="1"/>
      <c r="R131" s="1"/>
      <c r="S131" s="1"/>
    </row>
    <row r="132" spans="1:19" x14ac:dyDescent="0.25">
      <c r="A132" s="28" t="s">
        <v>422</v>
      </c>
      <c r="B132" s="182" t="s">
        <v>13</v>
      </c>
      <c r="C132" s="11" t="s">
        <v>159</v>
      </c>
      <c r="D132" s="20" t="s">
        <v>14</v>
      </c>
      <c r="E132" s="20">
        <v>4</v>
      </c>
      <c r="F132" s="29">
        <v>0</v>
      </c>
      <c r="G132" s="15"/>
      <c r="H132" s="29">
        <f t="shared" si="10"/>
        <v>0</v>
      </c>
      <c r="I132" s="15"/>
      <c r="J132" s="1"/>
      <c r="K132" s="1">
        <f>0.17*E132</f>
        <v>0.68</v>
      </c>
      <c r="P132" s="1"/>
      <c r="Q132" s="1"/>
      <c r="R132" s="1"/>
      <c r="S132" s="1"/>
    </row>
    <row r="133" spans="1:19" x14ac:dyDescent="0.25">
      <c r="A133" s="28" t="s">
        <v>423</v>
      </c>
      <c r="B133" s="182" t="s">
        <v>13</v>
      </c>
      <c r="C133" s="11" t="s">
        <v>482</v>
      </c>
      <c r="D133" s="20" t="s">
        <v>14</v>
      </c>
      <c r="E133" s="20">
        <v>2</v>
      </c>
      <c r="F133" s="29">
        <v>0</v>
      </c>
      <c r="G133" s="15"/>
      <c r="H133" s="29">
        <f t="shared" si="10"/>
        <v>0</v>
      </c>
      <c r="I133" s="15"/>
      <c r="J133" s="1"/>
      <c r="K133" s="1">
        <f>0.46*E133</f>
        <v>0.92</v>
      </c>
      <c r="P133" s="1"/>
      <c r="Q133" s="1"/>
      <c r="R133" s="1"/>
      <c r="S133" s="1"/>
    </row>
    <row r="134" spans="1:19" x14ac:dyDescent="0.25">
      <c r="A134" s="28" t="s">
        <v>424</v>
      </c>
      <c r="B134" s="182" t="s">
        <v>13</v>
      </c>
      <c r="C134" s="11" t="s">
        <v>484</v>
      </c>
      <c r="D134" s="20" t="s">
        <v>14</v>
      </c>
      <c r="E134" s="20">
        <v>1</v>
      </c>
      <c r="F134" s="29">
        <v>0</v>
      </c>
      <c r="G134" s="15"/>
      <c r="H134" s="29">
        <f t="shared" si="10"/>
        <v>0</v>
      </c>
      <c r="I134" s="15"/>
      <c r="J134" s="1"/>
      <c r="K134" s="1">
        <f>0.51*E134</f>
        <v>0.51</v>
      </c>
      <c r="P134" s="1"/>
      <c r="Q134" s="1"/>
      <c r="R134" s="1"/>
      <c r="S134" s="1"/>
    </row>
    <row r="135" spans="1:19" x14ac:dyDescent="0.25">
      <c r="A135" s="28" t="s">
        <v>425</v>
      </c>
      <c r="B135" s="182" t="s">
        <v>13</v>
      </c>
      <c r="C135" s="11" t="s">
        <v>184</v>
      </c>
      <c r="D135" s="20" t="s">
        <v>14</v>
      </c>
      <c r="E135" s="20">
        <v>1</v>
      </c>
      <c r="F135" s="29">
        <v>0</v>
      </c>
      <c r="G135" s="15"/>
      <c r="H135" s="29">
        <f t="shared" si="10"/>
        <v>0</v>
      </c>
      <c r="I135" s="15"/>
      <c r="J135" s="1"/>
      <c r="K135" s="1">
        <f>0.54*E135</f>
        <v>0.54</v>
      </c>
      <c r="P135" s="1"/>
      <c r="Q135" s="1"/>
      <c r="R135" s="1"/>
      <c r="S135" s="1"/>
    </row>
    <row r="136" spans="1:19" x14ac:dyDescent="0.25">
      <c r="A136" s="28" t="s">
        <v>485</v>
      </c>
      <c r="B136" s="182" t="s">
        <v>13</v>
      </c>
      <c r="C136" s="11" t="s">
        <v>161</v>
      </c>
      <c r="D136" s="20"/>
      <c r="E136" s="20">
        <v>4</v>
      </c>
      <c r="F136" s="29">
        <v>0</v>
      </c>
      <c r="G136" s="15"/>
      <c r="H136" s="29">
        <f t="shared" si="10"/>
        <v>0</v>
      </c>
      <c r="I136" s="15"/>
      <c r="J136" s="1"/>
      <c r="K136" s="1">
        <f>0.64*E136</f>
        <v>2.56</v>
      </c>
      <c r="P136" s="1"/>
      <c r="Q136" s="1"/>
      <c r="R136" s="1"/>
      <c r="S136" s="1"/>
    </row>
    <row r="137" spans="1:19" ht="42" customHeight="1" x14ac:dyDescent="0.25">
      <c r="A137" s="25" t="s">
        <v>95</v>
      </c>
      <c r="B137" s="201" t="s">
        <v>9</v>
      </c>
      <c r="C137" s="68" t="s">
        <v>163</v>
      </c>
      <c r="D137" s="19" t="s">
        <v>53</v>
      </c>
      <c r="E137" s="19">
        <v>24.16</v>
      </c>
      <c r="F137" s="27"/>
      <c r="G137" s="54">
        <v>0</v>
      </c>
      <c r="H137" s="27"/>
      <c r="I137" s="54">
        <f>E137*G137</f>
        <v>0</v>
      </c>
      <c r="J137" s="1"/>
      <c r="K137" s="1">
        <f>SUM(K139:K149)</f>
        <v>24.16</v>
      </c>
      <c r="P137" s="1"/>
      <c r="Q137" s="1"/>
      <c r="R137" s="1"/>
      <c r="S137" s="1"/>
    </row>
    <row r="138" spans="1:19" x14ac:dyDescent="0.25">
      <c r="A138" s="28" t="s">
        <v>96</v>
      </c>
      <c r="B138" s="210" t="s">
        <v>13</v>
      </c>
      <c r="C138" s="11" t="s">
        <v>54</v>
      </c>
      <c r="D138" s="20" t="s">
        <v>38</v>
      </c>
      <c r="E138" s="70">
        <f>2.25*E137</f>
        <v>54.36</v>
      </c>
      <c r="F138" s="29">
        <v>0</v>
      </c>
      <c r="G138" s="15"/>
      <c r="H138" s="29">
        <f>F138*E138</f>
        <v>0</v>
      </c>
      <c r="I138" s="15"/>
      <c r="J138" s="1"/>
      <c r="K138" s="1"/>
      <c r="P138" s="1"/>
      <c r="Q138" s="1"/>
      <c r="R138" s="1"/>
      <c r="S138" s="1"/>
    </row>
    <row r="139" spans="1:19" x14ac:dyDescent="0.25">
      <c r="A139" s="28" t="s">
        <v>97</v>
      </c>
      <c r="B139" s="182" t="s">
        <v>13</v>
      </c>
      <c r="C139" s="11" t="s">
        <v>313</v>
      </c>
      <c r="D139" s="20" t="s">
        <v>57</v>
      </c>
      <c r="E139" s="20">
        <v>3.7</v>
      </c>
      <c r="F139" s="29">
        <v>0</v>
      </c>
      <c r="G139" s="15"/>
      <c r="H139" s="29">
        <f t="shared" ref="H139:H149" si="11">F139*E139</f>
        <v>0</v>
      </c>
      <c r="I139" s="15"/>
      <c r="J139" s="1"/>
      <c r="K139" s="1">
        <f>1.6*E139</f>
        <v>5.92</v>
      </c>
      <c r="P139" s="1"/>
      <c r="Q139" s="1"/>
      <c r="R139" s="1"/>
      <c r="S139" s="1"/>
    </row>
    <row r="140" spans="1:19" x14ac:dyDescent="0.25">
      <c r="A140" s="28" t="s">
        <v>404</v>
      </c>
      <c r="B140" s="182" t="s">
        <v>13</v>
      </c>
      <c r="C140" s="11" t="s">
        <v>480</v>
      </c>
      <c r="D140" s="20" t="s">
        <v>57</v>
      </c>
      <c r="E140" s="20">
        <v>1.6</v>
      </c>
      <c r="F140" s="29">
        <v>0</v>
      </c>
      <c r="G140" s="15"/>
      <c r="H140" s="29">
        <f>E140*F140</f>
        <v>0</v>
      </c>
      <c r="I140" s="15"/>
      <c r="J140" s="1"/>
      <c r="K140" s="1">
        <f>2*E140</f>
        <v>3.2</v>
      </c>
      <c r="P140" s="1"/>
      <c r="Q140" s="1"/>
      <c r="R140" s="1"/>
      <c r="S140" s="1"/>
    </row>
    <row r="141" spans="1:19" x14ac:dyDescent="0.25">
      <c r="A141" s="28" t="s">
        <v>402</v>
      </c>
      <c r="B141" s="182" t="s">
        <v>13</v>
      </c>
      <c r="C141" s="11" t="s">
        <v>165</v>
      </c>
      <c r="D141" s="20" t="s">
        <v>57</v>
      </c>
      <c r="E141" s="20">
        <v>2.4</v>
      </c>
      <c r="F141" s="29">
        <v>0</v>
      </c>
      <c r="G141" s="15"/>
      <c r="H141" s="29">
        <f t="shared" si="11"/>
        <v>0</v>
      </c>
      <c r="I141" s="15"/>
      <c r="J141" s="1"/>
      <c r="K141" s="1">
        <f>2*E141</f>
        <v>4.8</v>
      </c>
      <c r="P141" s="1"/>
      <c r="Q141" s="1"/>
      <c r="R141" s="1"/>
      <c r="S141" s="1"/>
    </row>
    <row r="142" spans="1:19" x14ac:dyDescent="0.25">
      <c r="A142" s="28" t="s">
        <v>403</v>
      </c>
      <c r="B142" s="182" t="s">
        <v>13</v>
      </c>
      <c r="C142" s="11" t="s">
        <v>164</v>
      </c>
      <c r="D142" s="20" t="s">
        <v>57</v>
      </c>
      <c r="E142" s="337">
        <v>2.1</v>
      </c>
      <c r="F142" s="29">
        <v>0</v>
      </c>
      <c r="G142" s="15"/>
      <c r="H142" s="29">
        <f t="shared" si="11"/>
        <v>0</v>
      </c>
      <c r="I142" s="15"/>
      <c r="J142" s="1"/>
      <c r="K142" s="1">
        <f>2.2*E142</f>
        <v>4.62</v>
      </c>
      <c r="P142" s="1"/>
      <c r="Q142" s="1"/>
      <c r="R142" s="1"/>
      <c r="S142" s="1"/>
    </row>
    <row r="143" spans="1:19" x14ac:dyDescent="0.25">
      <c r="A143" s="28" t="s">
        <v>426</v>
      </c>
      <c r="B143" s="182" t="s">
        <v>13</v>
      </c>
      <c r="C143" s="11" t="s">
        <v>481</v>
      </c>
      <c r="D143" s="20" t="s">
        <v>14</v>
      </c>
      <c r="E143" s="20">
        <v>1</v>
      </c>
      <c r="F143" s="29">
        <v>0</v>
      </c>
      <c r="G143" s="15"/>
      <c r="H143" s="29">
        <f t="shared" si="11"/>
        <v>0</v>
      </c>
      <c r="I143" s="15"/>
      <c r="J143" s="1"/>
      <c r="K143" s="1">
        <f>0.7*E143</f>
        <v>0.7</v>
      </c>
      <c r="P143" s="1"/>
      <c r="Q143" s="1"/>
      <c r="R143" s="1"/>
      <c r="S143" s="1"/>
    </row>
    <row r="144" spans="1:19" x14ac:dyDescent="0.25">
      <c r="A144" s="28" t="s">
        <v>489</v>
      </c>
      <c r="B144" s="182" t="s">
        <v>13</v>
      </c>
      <c r="C144" s="11" t="s">
        <v>186</v>
      </c>
      <c r="D144" s="20" t="s">
        <v>14</v>
      </c>
      <c r="E144" s="20">
        <v>1</v>
      </c>
      <c r="F144" s="29">
        <v>0</v>
      </c>
      <c r="G144" s="15"/>
      <c r="H144" s="29">
        <f t="shared" si="11"/>
        <v>0</v>
      </c>
      <c r="I144" s="15"/>
      <c r="J144" s="1"/>
      <c r="K144" s="1">
        <f>0.77*E144</f>
        <v>0.77</v>
      </c>
      <c r="P144" s="1"/>
      <c r="Q144" s="1"/>
      <c r="R144" s="1"/>
      <c r="S144" s="1"/>
    </row>
    <row r="145" spans="1:19" ht="33.75" customHeight="1" x14ac:dyDescent="0.25">
      <c r="A145" s="28" t="s">
        <v>490</v>
      </c>
      <c r="B145" s="182" t="s">
        <v>13</v>
      </c>
      <c r="C145" s="11" t="s">
        <v>483</v>
      </c>
      <c r="D145" s="20" t="s">
        <v>14</v>
      </c>
      <c r="E145" s="20">
        <v>1</v>
      </c>
      <c r="F145" s="29">
        <v>0</v>
      </c>
      <c r="G145" s="15"/>
      <c r="H145" s="29">
        <f t="shared" si="11"/>
        <v>0</v>
      </c>
      <c r="I145" s="15"/>
      <c r="J145" s="1"/>
      <c r="K145" s="1">
        <f>0.79*E145</f>
        <v>0.79</v>
      </c>
      <c r="P145" s="1"/>
      <c r="Q145" s="1"/>
      <c r="R145" s="1"/>
      <c r="S145" s="1"/>
    </row>
    <row r="146" spans="1:19" x14ac:dyDescent="0.25">
      <c r="A146" s="28" t="s">
        <v>491</v>
      </c>
      <c r="B146" s="182" t="s">
        <v>13</v>
      </c>
      <c r="C146" s="11" t="s">
        <v>486</v>
      </c>
      <c r="D146" s="20" t="s">
        <v>14</v>
      </c>
      <c r="E146" s="20">
        <v>1</v>
      </c>
      <c r="F146" s="29">
        <v>0</v>
      </c>
      <c r="G146" s="15"/>
      <c r="H146" s="29">
        <f t="shared" si="11"/>
        <v>0</v>
      </c>
      <c r="I146" s="15"/>
      <c r="J146" s="1"/>
      <c r="K146" s="1">
        <f>0.6*E146</f>
        <v>0.6</v>
      </c>
      <c r="P146" s="1"/>
      <c r="Q146" s="1"/>
      <c r="R146" s="1"/>
      <c r="S146" s="1"/>
    </row>
    <row r="147" spans="1:19" x14ac:dyDescent="0.25">
      <c r="A147" s="28" t="s">
        <v>492</v>
      </c>
      <c r="B147" s="182" t="s">
        <v>13</v>
      </c>
      <c r="C147" s="11" t="s">
        <v>487</v>
      </c>
      <c r="D147" s="20" t="s">
        <v>14</v>
      </c>
      <c r="E147" s="20">
        <v>1</v>
      </c>
      <c r="F147" s="29">
        <v>0</v>
      </c>
      <c r="G147" s="15"/>
      <c r="H147" s="29">
        <f t="shared" si="11"/>
        <v>0</v>
      </c>
      <c r="I147" s="15"/>
      <c r="J147" s="1"/>
      <c r="K147" s="1">
        <f>0.78*E147</f>
        <v>0.78</v>
      </c>
      <c r="P147" s="1"/>
      <c r="Q147" s="1"/>
      <c r="R147" s="1"/>
      <c r="S147" s="1"/>
    </row>
    <row r="148" spans="1:19" x14ac:dyDescent="0.25">
      <c r="A148" s="28" t="s">
        <v>493</v>
      </c>
      <c r="B148" s="182" t="s">
        <v>13</v>
      </c>
      <c r="C148" s="11" t="s">
        <v>187</v>
      </c>
      <c r="D148" s="20" t="s">
        <v>14</v>
      </c>
      <c r="E148" s="20">
        <v>1</v>
      </c>
      <c r="F148" s="29">
        <v>0</v>
      </c>
      <c r="G148" s="15"/>
      <c r="H148" s="29">
        <f t="shared" si="11"/>
        <v>0</v>
      </c>
      <c r="I148" s="15"/>
      <c r="J148" s="1"/>
      <c r="K148" s="1">
        <f>1.16*E148</f>
        <v>1.1599999999999999</v>
      </c>
      <c r="P148" s="1"/>
      <c r="Q148" s="1"/>
      <c r="R148" s="1"/>
      <c r="S148" s="1"/>
    </row>
    <row r="149" spans="1:19" x14ac:dyDescent="0.25">
      <c r="A149" s="28" t="s">
        <v>494</v>
      </c>
      <c r="B149" s="182" t="s">
        <v>13</v>
      </c>
      <c r="C149" s="11" t="s">
        <v>488</v>
      </c>
      <c r="D149" s="20" t="s">
        <v>14</v>
      </c>
      <c r="E149" s="20">
        <v>1</v>
      </c>
      <c r="F149" s="29">
        <v>0</v>
      </c>
      <c r="G149" s="15"/>
      <c r="H149" s="29">
        <f t="shared" si="11"/>
        <v>0</v>
      </c>
      <c r="I149" s="15"/>
      <c r="J149" s="1"/>
      <c r="K149" s="1">
        <f>0.82*E149</f>
        <v>0.82</v>
      </c>
      <c r="P149" s="1"/>
      <c r="Q149" s="1"/>
      <c r="R149" s="1"/>
      <c r="S149" s="1"/>
    </row>
    <row r="150" spans="1:19" ht="42.75" x14ac:dyDescent="0.25">
      <c r="A150" s="25" t="s">
        <v>98</v>
      </c>
      <c r="B150" s="201" t="s">
        <v>9</v>
      </c>
      <c r="C150" s="17" t="s">
        <v>167</v>
      </c>
      <c r="D150" s="19" t="s">
        <v>53</v>
      </c>
      <c r="E150" s="19">
        <v>12.09</v>
      </c>
      <c r="F150" s="29"/>
      <c r="G150" s="54">
        <v>0</v>
      </c>
      <c r="H150" s="29"/>
      <c r="I150" s="54">
        <f>E150*G150</f>
        <v>0</v>
      </c>
      <c r="J150" s="1"/>
      <c r="K150" s="1">
        <f>K152+K153+K154+K155+K156</f>
        <v>12.09</v>
      </c>
      <c r="P150" s="1"/>
      <c r="Q150" s="1"/>
      <c r="R150" s="1"/>
      <c r="S150" s="1"/>
    </row>
    <row r="151" spans="1:19" x14ac:dyDescent="0.25">
      <c r="A151" s="28" t="s">
        <v>99</v>
      </c>
      <c r="B151" s="182" t="s">
        <v>13</v>
      </c>
      <c r="C151" s="11" t="s">
        <v>54</v>
      </c>
      <c r="D151" s="20" t="s">
        <v>38</v>
      </c>
      <c r="E151" s="70">
        <f>2.25*E150</f>
        <v>27.2</v>
      </c>
      <c r="F151" s="29">
        <v>0</v>
      </c>
      <c r="G151" s="15"/>
      <c r="H151" s="29">
        <f t="shared" ref="H151:H156" si="12">E151*F151</f>
        <v>0</v>
      </c>
      <c r="I151" s="15"/>
      <c r="J151" s="1"/>
      <c r="K151" s="1"/>
      <c r="P151" s="1"/>
      <c r="Q151" s="1"/>
      <c r="R151" s="1"/>
      <c r="S151" s="1"/>
    </row>
    <row r="152" spans="1:19" ht="30" x14ac:dyDescent="0.25">
      <c r="A152" s="28" t="s">
        <v>100</v>
      </c>
      <c r="B152" s="182" t="s">
        <v>13</v>
      </c>
      <c r="C152" s="11" t="s">
        <v>168</v>
      </c>
      <c r="D152" s="20" t="s">
        <v>57</v>
      </c>
      <c r="E152" s="20">
        <v>0.9</v>
      </c>
      <c r="F152" s="29">
        <v>0</v>
      </c>
      <c r="G152" s="15"/>
      <c r="H152" s="29">
        <f t="shared" si="12"/>
        <v>0</v>
      </c>
      <c r="I152" s="15"/>
      <c r="J152" s="1"/>
      <c r="K152" s="1">
        <f>2.8*E152</f>
        <v>2.52</v>
      </c>
      <c r="P152" s="1"/>
      <c r="Q152" s="1"/>
      <c r="R152" s="1"/>
      <c r="S152" s="1"/>
    </row>
    <row r="153" spans="1:19" ht="30" x14ac:dyDescent="0.25">
      <c r="A153" s="28" t="s">
        <v>101</v>
      </c>
      <c r="B153" s="182" t="s">
        <v>13</v>
      </c>
      <c r="C153" s="11" t="s">
        <v>169</v>
      </c>
      <c r="D153" s="20" t="s">
        <v>57</v>
      </c>
      <c r="E153" s="20">
        <v>1.7</v>
      </c>
      <c r="F153" s="29">
        <v>0</v>
      </c>
      <c r="G153" s="15"/>
      <c r="H153" s="29">
        <f t="shared" si="12"/>
        <v>0</v>
      </c>
      <c r="I153" s="15"/>
      <c r="J153" s="1"/>
      <c r="K153" s="1">
        <f>2.8*E153</f>
        <v>4.76</v>
      </c>
      <c r="P153" s="1"/>
      <c r="Q153" s="1"/>
      <c r="R153" s="1"/>
      <c r="S153" s="1"/>
    </row>
    <row r="154" spans="1:19" x14ac:dyDescent="0.25">
      <c r="A154" s="28" t="s">
        <v>102</v>
      </c>
      <c r="B154" s="182" t="s">
        <v>13</v>
      </c>
      <c r="C154" s="11" t="s">
        <v>188</v>
      </c>
      <c r="D154" s="20" t="s">
        <v>14</v>
      </c>
      <c r="E154" s="20">
        <v>1</v>
      </c>
      <c r="F154" s="29">
        <v>0</v>
      </c>
      <c r="G154" s="15"/>
      <c r="H154" s="29">
        <f t="shared" si="12"/>
        <v>0</v>
      </c>
      <c r="I154" s="15"/>
      <c r="J154" s="1"/>
      <c r="K154" s="1">
        <f>0.62*E154</f>
        <v>0.62</v>
      </c>
      <c r="P154" s="1"/>
      <c r="Q154" s="1"/>
      <c r="R154" s="1"/>
      <c r="S154" s="1"/>
    </row>
    <row r="155" spans="1:19" ht="30" x14ac:dyDescent="0.25">
      <c r="A155" s="28" t="s">
        <v>103</v>
      </c>
      <c r="B155" s="182" t="s">
        <v>13</v>
      </c>
      <c r="C155" s="11" t="s">
        <v>170</v>
      </c>
      <c r="D155" s="20" t="s">
        <v>14</v>
      </c>
      <c r="E155" s="20">
        <v>1</v>
      </c>
      <c r="F155" s="29">
        <v>0</v>
      </c>
      <c r="G155" s="15"/>
      <c r="H155" s="29">
        <f t="shared" si="12"/>
        <v>0</v>
      </c>
      <c r="I155" s="15"/>
      <c r="J155" s="1"/>
      <c r="K155" s="1">
        <f>2.15*E155</f>
        <v>2.15</v>
      </c>
      <c r="P155" s="1"/>
      <c r="Q155" s="1"/>
      <c r="R155" s="1"/>
      <c r="S155" s="1"/>
    </row>
    <row r="156" spans="1:19" ht="30" x14ac:dyDescent="0.25">
      <c r="A156" s="28" t="s">
        <v>437</v>
      </c>
      <c r="B156" s="182" t="s">
        <v>13</v>
      </c>
      <c r="C156" s="11" t="s">
        <v>477</v>
      </c>
      <c r="D156" s="20" t="s">
        <v>14</v>
      </c>
      <c r="E156" s="20">
        <v>1</v>
      </c>
      <c r="F156" s="29">
        <v>0</v>
      </c>
      <c r="G156" s="15"/>
      <c r="H156" s="29">
        <f t="shared" si="12"/>
        <v>0</v>
      </c>
      <c r="I156" s="15"/>
      <c r="J156" s="1"/>
      <c r="K156" s="1">
        <f>2.04*E156</f>
        <v>2.04</v>
      </c>
      <c r="P156" s="1"/>
      <c r="Q156" s="1"/>
      <c r="R156" s="1"/>
      <c r="S156" s="1"/>
    </row>
    <row r="157" spans="1:19" ht="28.5" x14ac:dyDescent="0.25">
      <c r="A157" s="25" t="s">
        <v>104</v>
      </c>
      <c r="B157" s="201" t="s">
        <v>174</v>
      </c>
      <c r="C157" s="17" t="s">
        <v>47</v>
      </c>
      <c r="D157" s="19" t="s">
        <v>14</v>
      </c>
      <c r="E157" s="19">
        <v>10</v>
      </c>
      <c r="F157" s="27"/>
      <c r="G157" s="54">
        <v>0</v>
      </c>
      <c r="H157" s="27"/>
      <c r="I157" s="54">
        <f>E157*G157</f>
        <v>0</v>
      </c>
      <c r="J157" s="1"/>
      <c r="K157" s="1"/>
      <c r="P157" s="1"/>
      <c r="Q157" s="1"/>
      <c r="R157" s="1"/>
      <c r="S157" s="1"/>
    </row>
    <row r="158" spans="1:19" ht="30" x14ac:dyDescent="0.25">
      <c r="A158" s="28" t="s">
        <v>133</v>
      </c>
      <c r="B158" s="182" t="s">
        <v>13</v>
      </c>
      <c r="C158" s="11" t="s">
        <v>171</v>
      </c>
      <c r="D158" s="20" t="s">
        <v>14</v>
      </c>
      <c r="E158" s="329">
        <v>5</v>
      </c>
      <c r="F158" s="29">
        <v>0</v>
      </c>
      <c r="G158" s="15"/>
      <c r="H158" s="29">
        <f>E158*F158</f>
        <v>0</v>
      </c>
      <c r="I158" s="15"/>
      <c r="J158" s="1"/>
      <c r="K158" s="1"/>
      <c r="P158" s="1"/>
      <c r="Q158" s="1"/>
      <c r="R158" s="1"/>
      <c r="S158" s="1"/>
    </row>
    <row r="159" spans="1:19" ht="30" x14ac:dyDescent="0.25">
      <c r="A159" s="117" t="s">
        <v>128</v>
      </c>
      <c r="B159" s="182" t="s">
        <v>13</v>
      </c>
      <c r="C159" s="330" t="s">
        <v>189</v>
      </c>
      <c r="D159" s="331" t="s">
        <v>14</v>
      </c>
      <c r="E159" s="332">
        <v>1</v>
      </c>
      <c r="F159" s="333">
        <v>0</v>
      </c>
      <c r="G159" s="334"/>
      <c r="H159" s="333">
        <f>E159*F159</f>
        <v>0</v>
      </c>
      <c r="I159" s="334"/>
      <c r="J159" s="1"/>
      <c r="K159" s="1"/>
      <c r="P159" s="1"/>
      <c r="Q159" s="1"/>
      <c r="R159" s="1"/>
      <c r="S159" s="1"/>
    </row>
    <row r="160" spans="1:19" ht="30" x14ac:dyDescent="0.25">
      <c r="A160" s="117" t="s">
        <v>129</v>
      </c>
      <c r="B160" s="210" t="s">
        <v>13</v>
      </c>
      <c r="C160" s="330" t="s">
        <v>172</v>
      </c>
      <c r="D160" s="331" t="s">
        <v>56</v>
      </c>
      <c r="E160" s="331">
        <v>4</v>
      </c>
      <c r="F160" s="333">
        <v>0</v>
      </c>
      <c r="G160" s="334"/>
      <c r="H160" s="333">
        <f t="shared" ref="H160" si="13">E160*F160</f>
        <v>0</v>
      </c>
      <c r="I160" s="334"/>
      <c r="J160" s="1"/>
      <c r="K160" s="1"/>
      <c r="P160" s="1"/>
      <c r="Q160" s="1"/>
      <c r="R160" s="1"/>
      <c r="S160" s="1"/>
    </row>
    <row r="161" spans="1:19" ht="28.5" x14ac:dyDescent="0.25">
      <c r="A161" s="25" t="s">
        <v>106</v>
      </c>
      <c r="B161" s="209" t="s">
        <v>9</v>
      </c>
      <c r="C161" s="17" t="s">
        <v>126</v>
      </c>
      <c r="D161" s="19" t="s">
        <v>14</v>
      </c>
      <c r="E161" s="19">
        <v>112</v>
      </c>
      <c r="F161" s="27"/>
      <c r="G161" s="54">
        <v>0</v>
      </c>
      <c r="H161" s="27"/>
      <c r="I161" s="54">
        <f>E161*G161</f>
        <v>0</v>
      </c>
      <c r="J161" s="1"/>
      <c r="K161" s="1"/>
      <c r="P161" s="1"/>
      <c r="Q161" s="1"/>
      <c r="R161" s="1"/>
      <c r="S161" s="1"/>
    </row>
    <row r="162" spans="1:19" x14ac:dyDescent="0.25">
      <c r="A162" s="28" t="s">
        <v>105</v>
      </c>
      <c r="B162" s="182" t="s">
        <v>13</v>
      </c>
      <c r="C162" s="11" t="s">
        <v>176</v>
      </c>
      <c r="D162" s="20" t="s">
        <v>14</v>
      </c>
      <c r="E162" s="20">
        <v>112</v>
      </c>
      <c r="F162" s="29">
        <v>0</v>
      </c>
      <c r="G162" s="54"/>
      <c r="H162" s="333">
        <f t="shared" ref="H162" si="14">E162*F162</f>
        <v>0</v>
      </c>
      <c r="I162" s="54"/>
      <c r="J162" s="1"/>
      <c r="K162" s="1"/>
      <c r="P162" s="1"/>
      <c r="Q162" s="1"/>
      <c r="R162" s="1"/>
      <c r="S162" s="1"/>
    </row>
    <row r="163" spans="1:19" ht="28.5" x14ac:dyDescent="0.25">
      <c r="A163" s="25" t="s">
        <v>107</v>
      </c>
      <c r="B163" s="209" t="s">
        <v>9</v>
      </c>
      <c r="C163" s="17" t="s">
        <v>460</v>
      </c>
      <c r="D163" s="19" t="s">
        <v>14</v>
      </c>
      <c r="E163" s="19">
        <v>64</v>
      </c>
      <c r="F163" s="27"/>
      <c r="G163" s="54">
        <v>0</v>
      </c>
      <c r="H163" s="27"/>
      <c r="I163" s="54">
        <f>E163*G163</f>
        <v>0</v>
      </c>
      <c r="J163" s="1"/>
      <c r="K163" s="1"/>
      <c r="P163" s="1"/>
      <c r="Q163" s="1"/>
      <c r="R163" s="1"/>
      <c r="S163" s="1"/>
    </row>
    <row r="164" spans="1:19" x14ac:dyDescent="0.25">
      <c r="A164" s="117" t="s">
        <v>108</v>
      </c>
      <c r="B164" s="182" t="s">
        <v>13</v>
      </c>
      <c r="C164" s="11" t="s">
        <v>175</v>
      </c>
      <c r="D164" s="20" t="s">
        <v>14</v>
      </c>
      <c r="E164" s="20">
        <v>64</v>
      </c>
      <c r="F164" s="29">
        <v>0</v>
      </c>
      <c r="G164" s="15"/>
      <c r="H164" s="333">
        <f t="shared" ref="H164" si="15">E164*F164</f>
        <v>0</v>
      </c>
      <c r="I164" s="15"/>
      <c r="J164" s="1"/>
      <c r="K164" s="1"/>
      <c r="P164" s="1"/>
      <c r="Q164" s="1"/>
      <c r="R164" s="1"/>
      <c r="S164" s="1"/>
    </row>
    <row r="165" spans="1:19" ht="28.5" x14ac:dyDescent="0.25">
      <c r="A165" s="25" t="s">
        <v>110</v>
      </c>
      <c r="B165" s="209" t="s">
        <v>9</v>
      </c>
      <c r="C165" s="17" t="s">
        <v>479</v>
      </c>
      <c r="D165" s="19" t="s">
        <v>14</v>
      </c>
      <c r="E165" s="18">
        <v>1</v>
      </c>
      <c r="F165" s="27"/>
      <c r="G165" s="54">
        <v>0</v>
      </c>
      <c r="H165" s="27"/>
      <c r="I165" s="54">
        <f>E165*G165</f>
        <v>0</v>
      </c>
      <c r="J165" s="1"/>
      <c r="K165" s="1"/>
      <c r="P165" s="1"/>
      <c r="Q165" s="1"/>
      <c r="R165" s="1"/>
      <c r="S165" s="1"/>
    </row>
    <row r="166" spans="1:19" x14ac:dyDescent="0.25">
      <c r="A166" s="28" t="s">
        <v>111</v>
      </c>
      <c r="B166" s="182" t="s">
        <v>13</v>
      </c>
      <c r="C166" s="11" t="s">
        <v>310</v>
      </c>
      <c r="D166" s="20" t="s">
        <v>14</v>
      </c>
      <c r="E166" s="338">
        <v>1</v>
      </c>
      <c r="F166" s="29">
        <v>0</v>
      </c>
      <c r="G166" s="15"/>
      <c r="H166" s="29">
        <f>E166*F166</f>
        <v>0</v>
      </c>
      <c r="I166" s="15"/>
      <c r="J166" s="1"/>
      <c r="K166" s="1"/>
      <c r="P166" s="1"/>
      <c r="Q166" s="1"/>
      <c r="R166" s="1"/>
      <c r="S166" s="1"/>
    </row>
    <row r="167" spans="1:19" ht="28.5" x14ac:dyDescent="0.25">
      <c r="A167" s="266" t="s">
        <v>459</v>
      </c>
      <c r="B167" s="267" t="s">
        <v>9</v>
      </c>
      <c r="C167" s="268" t="s">
        <v>465</v>
      </c>
      <c r="D167" s="269" t="s">
        <v>454</v>
      </c>
      <c r="E167" s="18">
        <v>5</v>
      </c>
      <c r="F167" s="270"/>
      <c r="G167" s="271">
        <v>0</v>
      </c>
      <c r="H167" s="270"/>
      <c r="I167" s="271">
        <f>E167*G167</f>
        <v>0</v>
      </c>
      <c r="J167" s="1"/>
      <c r="K167" s="1"/>
      <c r="P167" s="1"/>
      <c r="Q167" s="1"/>
      <c r="R167" s="1"/>
      <c r="S167" s="1"/>
    </row>
    <row r="168" spans="1:19" ht="28.5" x14ac:dyDescent="0.25">
      <c r="A168" s="25" t="s">
        <v>113</v>
      </c>
      <c r="B168" s="209" t="s">
        <v>9</v>
      </c>
      <c r="C168" s="17" t="s">
        <v>200</v>
      </c>
      <c r="D168" s="19" t="s">
        <v>53</v>
      </c>
      <c r="E168" s="278">
        <v>662.1</v>
      </c>
      <c r="F168" s="27"/>
      <c r="G168" s="54">
        <v>0</v>
      </c>
      <c r="H168" s="27"/>
      <c r="I168" s="54">
        <f>E168*G168</f>
        <v>0</v>
      </c>
      <c r="J168" s="1"/>
      <c r="K168" s="1"/>
      <c r="P168" s="1"/>
      <c r="Q168" s="1"/>
      <c r="R168" s="1"/>
      <c r="S168" s="1"/>
    </row>
    <row r="169" spans="1:19" x14ac:dyDescent="0.25">
      <c r="A169" s="118" t="s">
        <v>114</v>
      </c>
      <c r="B169" s="335" t="s">
        <v>13</v>
      </c>
      <c r="C169" s="167" t="s">
        <v>198</v>
      </c>
      <c r="D169" s="84" t="s">
        <v>53</v>
      </c>
      <c r="E169" s="84">
        <f>1.1*E168</f>
        <v>728.31</v>
      </c>
      <c r="F169" s="336">
        <v>0</v>
      </c>
      <c r="G169" s="112"/>
      <c r="H169" s="336">
        <f>E169*F169</f>
        <v>0</v>
      </c>
      <c r="I169" s="112"/>
      <c r="J169" s="1"/>
      <c r="K169" s="1"/>
      <c r="P169" s="1"/>
      <c r="Q169" s="1"/>
      <c r="R169" s="1"/>
      <c r="S169" s="1"/>
    </row>
    <row r="170" spans="1:19" x14ac:dyDescent="0.25">
      <c r="A170" s="118" t="s">
        <v>115</v>
      </c>
      <c r="B170" s="335" t="s">
        <v>13</v>
      </c>
      <c r="C170" s="167" t="s">
        <v>199</v>
      </c>
      <c r="D170" s="84" t="s">
        <v>38</v>
      </c>
      <c r="E170" s="84">
        <f>0.7*E168</f>
        <v>463.47</v>
      </c>
      <c r="F170" s="336">
        <v>0</v>
      </c>
      <c r="G170" s="112"/>
      <c r="H170" s="336">
        <f>E170*F170</f>
        <v>0</v>
      </c>
      <c r="I170" s="112"/>
      <c r="J170" s="1"/>
      <c r="K170" s="1"/>
      <c r="P170" s="1"/>
      <c r="Q170" s="1"/>
      <c r="R170" s="1"/>
      <c r="S170" s="1"/>
    </row>
    <row r="171" spans="1:19" x14ac:dyDescent="0.25">
      <c r="A171" s="155" t="s">
        <v>107</v>
      </c>
      <c r="B171" s="222" t="s">
        <v>9</v>
      </c>
      <c r="C171" s="220" t="s">
        <v>190</v>
      </c>
      <c r="D171" s="83" t="s">
        <v>53</v>
      </c>
      <c r="E171" s="83">
        <v>5.9</v>
      </c>
      <c r="F171" s="132"/>
      <c r="G171" s="59">
        <v>0</v>
      </c>
      <c r="H171" s="132"/>
      <c r="I171" s="59">
        <f>E171*G171</f>
        <v>0</v>
      </c>
      <c r="J171" s="1"/>
      <c r="K171" s="1"/>
      <c r="P171" s="1"/>
      <c r="Q171" s="1"/>
      <c r="R171" s="1"/>
      <c r="S171" s="1"/>
    </row>
    <row r="172" spans="1:19" x14ac:dyDescent="0.25">
      <c r="A172" s="118" t="s">
        <v>108</v>
      </c>
      <c r="B172" s="335" t="s">
        <v>13</v>
      </c>
      <c r="C172" s="167" t="s">
        <v>191</v>
      </c>
      <c r="D172" s="84" t="s">
        <v>53</v>
      </c>
      <c r="E172" s="84">
        <v>5.9</v>
      </c>
      <c r="F172" s="336">
        <v>0</v>
      </c>
      <c r="G172" s="112"/>
      <c r="H172" s="336">
        <f>E172*F172</f>
        <v>0</v>
      </c>
      <c r="I172" s="112"/>
      <c r="J172" s="1"/>
      <c r="K172" s="1"/>
      <c r="P172" s="1"/>
      <c r="Q172" s="1"/>
      <c r="R172" s="1"/>
      <c r="S172" s="1"/>
    </row>
    <row r="173" spans="1:19" ht="30.75" thickBot="1" x14ac:dyDescent="0.3">
      <c r="A173" s="117" t="s">
        <v>109</v>
      </c>
      <c r="B173" s="210" t="s">
        <v>13</v>
      </c>
      <c r="C173" s="330" t="s">
        <v>192</v>
      </c>
      <c r="D173" s="331" t="s">
        <v>53</v>
      </c>
      <c r="E173" s="331">
        <v>5.9</v>
      </c>
      <c r="F173" s="333">
        <v>0</v>
      </c>
      <c r="G173" s="334"/>
      <c r="H173" s="333">
        <f>E173*F173</f>
        <v>0</v>
      </c>
      <c r="I173" s="334"/>
      <c r="J173" s="1"/>
      <c r="K173" s="1"/>
      <c r="P173" s="1"/>
      <c r="Q173" s="1"/>
      <c r="R173" s="1"/>
      <c r="S173" s="1"/>
    </row>
    <row r="174" spans="1:19" ht="15.75" thickBot="1" x14ac:dyDescent="0.3">
      <c r="A174" s="239"/>
      <c r="B174" s="211"/>
      <c r="C174" s="240" t="s">
        <v>407</v>
      </c>
      <c r="D174" s="3"/>
      <c r="E174" s="241"/>
      <c r="F174" s="91"/>
      <c r="G174" s="123"/>
      <c r="H174" s="113">
        <f>SUM(H99:H173)</f>
        <v>0</v>
      </c>
      <c r="I174" s="81">
        <f>SUM(I98:I173)</f>
        <v>0</v>
      </c>
      <c r="J174" s="1"/>
      <c r="K174" s="1"/>
      <c r="P174" s="1"/>
      <c r="Q174" s="1"/>
      <c r="R174" s="1"/>
      <c r="S174" s="1"/>
    </row>
    <row r="175" spans="1:19" ht="15.75" thickBot="1" x14ac:dyDescent="0.3">
      <c r="A175" s="223"/>
      <c r="B175" s="183"/>
      <c r="C175" s="224" t="s">
        <v>550</v>
      </c>
      <c r="D175" s="46"/>
      <c r="E175" s="225"/>
      <c r="F175" s="226"/>
      <c r="G175" s="100"/>
      <c r="H175" s="128"/>
      <c r="I175" s="50"/>
      <c r="J175" s="1"/>
      <c r="K175" s="1"/>
      <c r="P175" s="1"/>
      <c r="Q175" s="1"/>
      <c r="R175" s="1"/>
      <c r="S175" s="1"/>
    </row>
    <row r="176" spans="1:19" x14ac:dyDescent="0.25">
      <c r="A176" s="227" t="s">
        <v>110</v>
      </c>
      <c r="B176" s="228" t="s">
        <v>9</v>
      </c>
      <c r="C176" s="131" t="s">
        <v>20</v>
      </c>
      <c r="D176" s="125" t="s">
        <v>14</v>
      </c>
      <c r="E176" s="125">
        <v>22</v>
      </c>
      <c r="F176" s="127"/>
      <c r="G176" s="130">
        <v>0</v>
      </c>
      <c r="H176" s="127"/>
      <c r="I176" s="59">
        <f>E176*G176</f>
        <v>0</v>
      </c>
      <c r="J176" s="1"/>
      <c r="K176" s="1"/>
      <c r="P176" s="1"/>
      <c r="Q176" s="1"/>
      <c r="R176" s="1"/>
      <c r="S176" s="1"/>
    </row>
    <row r="177" spans="1:19" ht="30" x14ac:dyDescent="0.25">
      <c r="A177" s="86" t="s">
        <v>111</v>
      </c>
      <c r="B177" s="217" t="s">
        <v>13</v>
      </c>
      <c r="C177" s="115" t="s">
        <v>193</v>
      </c>
      <c r="D177" s="12" t="s">
        <v>14</v>
      </c>
      <c r="E177" s="12">
        <v>22</v>
      </c>
      <c r="F177" s="29">
        <v>0</v>
      </c>
      <c r="G177" s="94"/>
      <c r="H177" s="107">
        <f>E177*F177</f>
        <v>0</v>
      </c>
      <c r="I177" s="15"/>
      <c r="J177" s="1"/>
      <c r="K177" s="1"/>
      <c r="P177" s="1"/>
      <c r="Q177" s="1"/>
      <c r="R177" s="1"/>
      <c r="S177" s="1"/>
    </row>
    <row r="178" spans="1:19" x14ac:dyDescent="0.25">
      <c r="A178" s="28" t="s">
        <v>112</v>
      </c>
      <c r="B178" s="217" t="s">
        <v>13</v>
      </c>
      <c r="C178" s="67" t="s">
        <v>194</v>
      </c>
      <c r="D178" s="12" t="s">
        <v>14</v>
      </c>
      <c r="E178" s="12">
        <v>22</v>
      </c>
      <c r="F178" s="29">
        <v>0</v>
      </c>
      <c r="G178" s="94"/>
      <c r="H178" s="107">
        <f>E178*F178</f>
        <v>0</v>
      </c>
      <c r="I178" s="15"/>
      <c r="J178" s="1"/>
      <c r="K178" s="1"/>
      <c r="P178" s="1"/>
      <c r="Q178" s="1"/>
      <c r="R178" s="1"/>
      <c r="S178" s="1"/>
    </row>
    <row r="179" spans="1:19" ht="42.75" x14ac:dyDescent="0.25">
      <c r="A179" s="25" t="s">
        <v>113</v>
      </c>
      <c r="B179" s="229" t="s">
        <v>9</v>
      </c>
      <c r="C179" s="68" t="s">
        <v>52</v>
      </c>
      <c r="D179" s="18" t="s">
        <v>53</v>
      </c>
      <c r="E179" s="276">
        <v>25.42</v>
      </c>
      <c r="F179" s="27"/>
      <c r="G179" s="110">
        <v>0</v>
      </c>
      <c r="H179" s="95"/>
      <c r="I179" s="54">
        <f>E179*G179</f>
        <v>0</v>
      </c>
      <c r="J179" s="1"/>
      <c r="K179" s="1">
        <f>K181+K183+K184</f>
        <v>25.42</v>
      </c>
      <c r="P179" s="1"/>
      <c r="Q179" s="1"/>
      <c r="R179" s="1"/>
      <c r="S179" s="1"/>
    </row>
    <row r="180" spans="1:19" x14ac:dyDescent="0.25">
      <c r="A180" s="28" t="s">
        <v>114</v>
      </c>
      <c r="B180" s="182" t="s">
        <v>13</v>
      </c>
      <c r="C180" s="64" t="s">
        <v>54</v>
      </c>
      <c r="D180" s="65" t="s">
        <v>38</v>
      </c>
      <c r="E180" s="66">
        <f>0.606*E179</f>
        <v>15.4</v>
      </c>
      <c r="F180" s="29">
        <v>0</v>
      </c>
      <c r="G180" s="15"/>
      <c r="H180" s="29">
        <f t="shared" ref="H180:H185" si="16">E180*F180</f>
        <v>0</v>
      </c>
      <c r="I180" s="15"/>
      <c r="J180" s="1"/>
      <c r="K180" s="1"/>
      <c r="P180" s="1"/>
      <c r="Q180" s="1"/>
      <c r="R180" s="1"/>
      <c r="S180" s="1"/>
    </row>
    <row r="181" spans="1:19" ht="17.25" customHeight="1" x14ac:dyDescent="0.25">
      <c r="A181" s="28" t="s">
        <v>115</v>
      </c>
      <c r="B181" s="217" t="s">
        <v>13</v>
      </c>
      <c r="C181" s="115" t="s">
        <v>195</v>
      </c>
      <c r="D181" s="12" t="s">
        <v>57</v>
      </c>
      <c r="E181" s="339">
        <v>19.100000000000001</v>
      </c>
      <c r="F181" s="29">
        <v>0</v>
      </c>
      <c r="G181" s="94"/>
      <c r="H181" s="107">
        <f t="shared" si="16"/>
        <v>0</v>
      </c>
      <c r="I181" s="15"/>
      <c r="J181" s="1"/>
      <c r="K181" s="1">
        <v>20.420000000000002</v>
      </c>
      <c r="P181" s="1"/>
      <c r="Q181" s="1"/>
      <c r="R181" s="1"/>
      <c r="S181" s="1"/>
    </row>
    <row r="182" spans="1:19" ht="18" customHeight="1" x14ac:dyDescent="0.25">
      <c r="A182" s="28" t="s">
        <v>131</v>
      </c>
      <c r="B182" s="217" t="s">
        <v>13</v>
      </c>
      <c r="C182" s="115" t="s">
        <v>196</v>
      </c>
      <c r="D182" s="12" t="s">
        <v>57</v>
      </c>
      <c r="E182" s="339">
        <v>45.9</v>
      </c>
      <c r="F182" s="29">
        <v>0</v>
      </c>
      <c r="G182" s="94"/>
      <c r="H182" s="107">
        <f t="shared" si="16"/>
        <v>0</v>
      </c>
      <c r="I182" s="15"/>
      <c r="J182" s="1"/>
      <c r="K182" s="1"/>
      <c r="P182" s="1"/>
      <c r="Q182" s="1"/>
      <c r="R182" s="1"/>
      <c r="S182" s="1"/>
    </row>
    <row r="183" spans="1:19" ht="30" x14ac:dyDescent="0.25">
      <c r="A183" s="28" t="s">
        <v>132</v>
      </c>
      <c r="B183" s="217" t="s">
        <v>13</v>
      </c>
      <c r="C183" s="115" t="s">
        <v>137</v>
      </c>
      <c r="D183" s="12" t="s">
        <v>14</v>
      </c>
      <c r="E183" s="12">
        <v>27</v>
      </c>
      <c r="F183" s="29">
        <v>0</v>
      </c>
      <c r="G183" s="94"/>
      <c r="H183" s="107">
        <f t="shared" si="16"/>
        <v>0</v>
      </c>
      <c r="I183" s="15"/>
      <c r="J183" s="1"/>
      <c r="K183" s="1">
        <f>0.1*E183</f>
        <v>2.7</v>
      </c>
      <c r="P183" s="1"/>
      <c r="Q183" s="1"/>
      <c r="R183" s="1"/>
      <c r="S183" s="1"/>
    </row>
    <row r="184" spans="1:19" ht="30" x14ac:dyDescent="0.25">
      <c r="A184" s="28" t="s">
        <v>405</v>
      </c>
      <c r="B184" s="217" t="s">
        <v>13</v>
      </c>
      <c r="C184" s="115" t="s">
        <v>142</v>
      </c>
      <c r="D184" s="12" t="s">
        <v>14</v>
      </c>
      <c r="E184" s="339">
        <v>23</v>
      </c>
      <c r="F184" s="29">
        <v>0</v>
      </c>
      <c r="G184" s="94"/>
      <c r="H184" s="107">
        <f t="shared" si="16"/>
        <v>0</v>
      </c>
      <c r="I184" s="15"/>
      <c r="J184" s="1"/>
      <c r="K184" s="1">
        <f>0.1*E184</f>
        <v>2.2999999999999998</v>
      </c>
      <c r="P184" s="1"/>
      <c r="Q184" s="1"/>
      <c r="R184" s="1"/>
      <c r="S184" s="1"/>
    </row>
    <row r="185" spans="1:19" ht="30" x14ac:dyDescent="0.25">
      <c r="A185" s="28" t="s">
        <v>406</v>
      </c>
      <c r="B185" s="217" t="s">
        <v>13</v>
      </c>
      <c r="C185" s="115" t="s">
        <v>197</v>
      </c>
      <c r="D185" s="12" t="s">
        <v>14</v>
      </c>
      <c r="E185" s="12">
        <v>0</v>
      </c>
      <c r="F185" s="29">
        <v>0</v>
      </c>
      <c r="G185" s="94"/>
      <c r="H185" s="107">
        <f t="shared" si="16"/>
        <v>0</v>
      </c>
      <c r="I185" s="15"/>
      <c r="J185" s="1"/>
      <c r="K185" s="1">
        <f>0.07</f>
        <v>7.0000000000000007E-2</v>
      </c>
      <c r="P185" s="1"/>
      <c r="Q185" s="1"/>
      <c r="R185" s="1"/>
      <c r="S185" s="1"/>
    </row>
    <row r="186" spans="1:19" ht="28.5" x14ac:dyDescent="0.25">
      <c r="A186" s="25" t="s">
        <v>116</v>
      </c>
      <c r="B186" s="229" t="s">
        <v>9</v>
      </c>
      <c r="C186" s="17" t="s">
        <v>200</v>
      </c>
      <c r="D186" s="19" t="s">
        <v>53</v>
      </c>
      <c r="E186" s="18">
        <v>16</v>
      </c>
      <c r="F186" s="27"/>
      <c r="G186" s="110">
        <v>0</v>
      </c>
      <c r="H186" s="95"/>
      <c r="I186" s="54">
        <f>E186*G186</f>
        <v>0</v>
      </c>
      <c r="J186" s="1"/>
      <c r="K186" s="1"/>
      <c r="P186" s="1"/>
      <c r="Q186" s="1"/>
      <c r="R186" s="1"/>
      <c r="S186" s="1"/>
    </row>
    <row r="187" spans="1:19" x14ac:dyDescent="0.25">
      <c r="A187" s="86" t="s">
        <v>117</v>
      </c>
      <c r="B187" s="217" t="s">
        <v>13</v>
      </c>
      <c r="C187" s="167" t="s">
        <v>198</v>
      </c>
      <c r="D187" s="84" t="s">
        <v>53</v>
      </c>
      <c r="E187" s="12">
        <f>1.1*E186</f>
        <v>17.600000000000001</v>
      </c>
      <c r="F187" s="29">
        <v>0</v>
      </c>
      <c r="G187" s="94"/>
      <c r="H187" s="107">
        <f>E187*F187</f>
        <v>0</v>
      </c>
      <c r="I187" s="15"/>
      <c r="J187" s="1"/>
      <c r="K187" s="1"/>
      <c r="P187" s="1"/>
      <c r="Q187" s="1"/>
      <c r="R187" s="1"/>
      <c r="S187" s="1"/>
    </row>
    <row r="188" spans="1:19" ht="15.75" thickBot="1" x14ac:dyDescent="0.3">
      <c r="A188" s="117" t="s">
        <v>118</v>
      </c>
      <c r="B188" s="340" t="s">
        <v>13</v>
      </c>
      <c r="C188" s="341" t="s">
        <v>199</v>
      </c>
      <c r="D188" s="85" t="s">
        <v>38</v>
      </c>
      <c r="E188" s="342">
        <f>0.7*E186</f>
        <v>11.2</v>
      </c>
      <c r="F188" s="333">
        <v>0</v>
      </c>
      <c r="G188" s="343"/>
      <c r="H188" s="344">
        <f>E188*F188</f>
        <v>0</v>
      </c>
      <c r="I188" s="334"/>
      <c r="J188" s="1"/>
      <c r="K188" s="1"/>
      <c r="P188" s="1"/>
      <c r="Q188" s="1"/>
      <c r="R188" s="1"/>
      <c r="S188" s="1"/>
    </row>
    <row r="189" spans="1:19" ht="15.75" thickBot="1" x14ac:dyDescent="0.3">
      <c r="A189" s="78"/>
      <c r="B189" s="207"/>
      <c r="C189" s="238" t="s">
        <v>43</v>
      </c>
      <c r="D189" s="47"/>
      <c r="E189" s="47"/>
      <c r="F189" s="119"/>
      <c r="G189" s="100"/>
      <c r="H189" s="113">
        <f>SUM(H176:H188)</f>
        <v>0</v>
      </c>
      <c r="I189" s="81">
        <f>SUM(I176:I188)</f>
        <v>0</v>
      </c>
      <c r="J189" s="1"/>
      <c r="K189" s="1"/>
      <c r="P189" s="1"/>
      <c r="Q189" s="1"/>
      <c r="R189" s="1"/>
      <c r="S189" s="1"/>
    </row>
    <row r="190" spans="1:19" ht="15.75" thickBot="1" x14ac:dyDescent="0.3">
      <c r="A190" s="163"/>
      <c r="B190" s="197"/>
      <c r="C190" s="242" t="s">
        <v>408</v>
      </c>
      <c r="D190" s="96"/>
      <c r="E190" s="96"/>
      <c r="F190" s="135"/>
      <c r="G190" s="136"/>
      <c r="H190" s="243">
        <f>H21+H96+H174+H189</f>
        <v>0</v>
      </c>
      <c r="I190" s="244">
        <f>I21+I96+I174+I189</f>
        <v>0</v>
      </c>
      <c r="J190" s="1"/>
      <c r="K190" s="1"/>
      <c r="P190" s="1"/>
      <c r="Q190" s="1"/>
      <c r="R190" s="1"/>
      <c r="S190" s="1"/>
    </row>
    <row r="191" spans="1:19" ht="15.75" thickBot="1" x14ac:dyDescent="0.3">
      <c r="A191" s="163"/>
      <c r="B191" s="245"/>
      <c r="C191" s="242" t="s">
        <v>409</v>
      </c>
      <c r="D191" s="96"/>
      <c r="E191" s="96"/>
      <c r="F191" s="135"/>
      <c r="G191" s="136"/>
      <c r="H191" s="243"/>
      <c r="I191" s="244">
        <f>H190+I190</f>
        <v>0</v>
      </c>
      <c r="J191" s="1"/>
      <c r="K191" s="1"/>
      <c r="P191" s="1"/>
      <c r="Q191" s="1"/>
      <c r="R191" s="1"/>
      <c r="S191" s="1"/>
    </row>
    <row r="192" spans="1:19" ht="15.75" thickBot="1" x14ac:dyDescent="0.3">
      <c r="A192" s="126"/>
      <c r="B192" s="79" t="s">
        <v>410</v>
      </c>
      <c r="C192" s="45" t="s">
        <v>211</v>
      </c>
      <c r="D192" s="47"/>
      <c r="E192" s="47"/>
      <c r="F192" s="119"/>
      <c r="G192" s="100"/>
      <c r="H192" s="113"/>
      <c r="I192" s="81"/>
      <c r="J192" s="1"/>
      <c r="K192" s="1"/>
      <c r="P192" s="1"/>
      <c r="Q192" s="1"/>
      <c r="R192" s="1"/>
      <c r="S192" s="1"/>
    </row>
    <row r="193" spans="1:19" ht="15.75" thickBot="1" x14ac:dyDescent="0.3">
      <c r="A193" s="126"/>
      <c r="B193" s="183"/>
      <c r="C193" s="45" t="s">
        <v>209</v>
      </c>
      <c r="D193" s="46"/>
      <c r="E193" s="46"/>
      <c r="F193" s="119"/>
      <c r="G193" s="100"/>
      <c r="H193" s="91"/>
      <c r="I193" s="81"/>
      <c r="J193" s="1"/>
      <c r="K193" s="1"/>
      <c r="P193" s="1"/>
      <c r="Q193" s="1"/>
      <c r="R193" s="1"/>
      <c r="S193" s="1"/>
    </row>
    <row r="194" spans="1:19" ht="42.75" x14ac:dyDescent="0.25">
      <c r="A194" s="125">
        <v>1</v>
      </c>
      <c r="B194" s="186" t="s">
        <v>9</v>
      </c>
      <c r="C194" s="68" t="s">
        <v>206</v>
      </c>
      <c r="D194" s="83" t="s">
        <v>53</v>
      </c>
      <c r="E194" s="83">
        <v>0.44</v>
      </c>
      <c r="F194" s="132"/>
      <c r="G194" s="59">
        <v>0</v>
      </c>
      <c r="H194" s="132"/>
      <c r="I194" s="59">
        <f>E194*G194</f>
        <v>0</v>
      </c>
      <c r="J194" s="1"/>
      <c r="K194" s="1"/>
      <c r="P194" s="1"/>
      <c r="Q194" s="1"/>
      <c r="R194" s="1"/>
      <c r="S194" s="1"/>
    </row>
    <row r="195" spans="1:19" x14ac:dyDescent="0.25">
      <c r="A195" s="10" t="s">
        <v>12</v>
      </c>
      <c r="B195" s="187" t="s">
        <v>13</v>
      </c>
      <c r="C195" s="11" t="s">
        <v>54</v>
      </c>
      <c r="D195" s="20" t="s">
        <v>38</v>
      </c>
      <c r="E195" s="70">
        <f>1.22*E194</f>
        <v>0.54</v>
      </c>
      <c r="F195" s="29">
        <v>0</v>
      </c>
      <c r="G195" s="15"/>
      <c r="H195" s="29">
        <f t="shared" ref="H195:H196" si="17">E195*F195</f>
        <v>0</v>
      </c>
      <c r="I195" s="15"/>
      <c r="J195" s="1"/>
      <c r="K195" s="1"/>
      <c r="P195" s="1"/>
      <c r="Q195" s="1"/>
      <c r="R195" s="1"/>
      <c r="S195" s="1"/>
    </row>
    <row r="196" spans="1:19" x14ac:dyDescent="0.25">
      <c r="A196" s="28" t="s">
        <v>15</v>
      </c>
      <c r="B196" s="182" t="s">
        <v>13</v>
      </c>
      <c r="C196" s="11" t="s">
        <v>205</v>
      </c>
      <c r="D196" s="20" t="s">
        <v>57</v>
      </c>
      <c r="E196" s="20">
        <v>0.4</v>
      </c>
      <c r="F196" s="29">
        <v>0</v>
      </c>
      <c r="G196" s="15"/>
      <c r="H196" s="29">
        <f t="shared" si="17"/>
        <v>0</v>
      </c>
      <c r="I196" s="15"/>
      <c r="J196" s="1"/>
      <c r="K196" s="1">
        <f>1.1*E196</f>
        <v>0.44</v>
      </c>
      <c r="P196" s="1"/>
      <c r="Q196" s="1"/>
      <c r="R196" s="1"/>
      <c r="S196" s="1"/>
    </row>
    <row r="197" spans="1:19" ht="28.5" x14ac:dyDescent="0.25">
      <c r="A197" s="16" t="s">
        <v>16</v>
      </c>
      <c r="B197" s="188" t="s">
        <v>9</v>
      </c>
      <c r="C197" s="264" t="s">
        <v>66</v>
      </c>
      <c r="D197" s="18" t="s">
        <v>14</v>
      </c>
      <c r="E197" s="276">
        <v>2</v>
      </c>
      <c r="F197" s="13"/>
      <c r="G197" s="110">
        <v>0</v>
      </c>
      <c r="H197" s="95"/>
      <c r="I197" s="54">
        <f>E197*G197</f>
        <v>0</v>
      </c>
      <c r="J197" s="1"/>
      <c r="K197" s="247"/>
      <c r="P197" s="1"/>
      <c r="Q197" s="1"/>
      <c r="R197" s="1"/>
      <c r="S197" s="1"/>
    </row>
    <row r="198" spans="1:19" x14ac:dyDescent="0.25">
      <c r="A198" s="28" t="s">
        <v>17</v>
      </c>
      <c r="B198" s="187" t="s">
        <v>13</v>
      </c>
      <c r="C198" s="64" t="s">
        <v>207</v>
      </c>
      <c r="D198" s="12" t="s">
        <v>14</v>
      </c>
      <c r="E198" s="12">
        <v>2</v>
      </c>
      <c r="F198" s="14">
        <v>0</v>
      </c>
      <c r="G198" s="94"/>
      <c r="H198" s="107">
        <f>E198*F198</f>
        <v>0</v>
      </c>
      <c r="I198" s="15"/>
      <c r="J198" s="1"/>
      <c r="K198" s="1"/>
      <c r="P198" s="1"/>
      <c r="Q198" s="1"/>
      <c r="R198" s="1"/>
      <c r="S198" s="1"/>
    </row>
    <row r="199" spans="1:19" ht="28.5" x14ac:dyDescent="0.25">
      <c r="A199" s="302" t="s">
        <v>19</v>
      </c>
      <c r="B199" s="303" t="s">
        <v>9</v>
      </c>
      <c r="C199" s="164" t="s">
        <v>551</v>
      </c>
      <c r="D199" s="304" t="s">
        <v>14</v>
      </c>
      <c r="E199" s="304">
        <v>2</v>
      </c>
      <c r="F199" s="305"/>
      <c r="G199" s="306">
        <v>0</v>
      </c>
      <c r="H199" s="307"/>
      <c r="I199" s="271">
        <f>E199*G199</f>
        <v>0</v>
      </c>
      <c r="J199" s="1"/>
      <c r="K199" s="1"/>
      <c r="P199" s="1"/>
      <c r="Q199" s="1"/>
      <c r="R199" s="1"/>
      <c r="S199" s="1"/>
    </row>
    <row r="200" spans="1:19" ht="30.75" thickBot="1" x14ac:dyDescent="0.3">
      <c r="A200" s="345" t="s">
        <v>21</v>
      </c>
      <c r="B200" s="346" t="s">
        <v>13</v>
      </c>
      <c r="C200" s="114" t="s">
        <v>208</v>
      </c>
      <c r="D200" s="342" t="s">
        <v>14</v>
      </c>
      <c r="E200" s="342">
        <v>2</v>
      </c>
      <c r="F200" s="347">
        <v>0</v>
      </c>
      <c r="G200" s="343"/>
      <c r="H200" s="344">
        <f>E200*F200</f>
        <v>0</v>
      </c>
      <c r="I200" s="334"/>
      <c r="J200" s="1"/>
      <c r="K200" s="1"/>
      <c r="P200" s="1"/>
      <c r="Q200" s="1"/>
      <c r="R200" s="1"/>
      <c r="S200" s="1"/>
    </row>
    <row r="201" spans="1:19" ht="15.75" thickBot="1" x14ac:dyDescent="0.3">
      <c r="A201" s="43"/>
      <c r="B201" s="189"/>
      <c r="C201" s="248" t="s">
        <v>407</v>
      </c>
      <c r="D201" s="47"/>
      <c r="E201" s="47"/>
      <c r="F201" s="49"/>
      <c r="G201" s="100"/>
      <c r="H201" s="113">
        <f>SUM(H195:H200)</f>
        <v>0</v>
      </c>
      <c r="I201" s="81">
        <f>SUM(I194:I200)</f>
        <v>0</v>
      </c>
      <c r="J201" s="1"/>
      <c r="K201" s="1"/>
      <c r="P201" s="1"/>
      <c r="Q201" s="1"/>
      <c r="R201" s="1"/>
      <c r="S201" s="1"/>
    </row>
    <row r="202" spans="1:19" ht="15.75" thickBot="1" x14ac:dyDescent="0.3">
      <c r="A202" s="43"/>
      <c r="B202" s="189"/>
      <c r="C202" s="129" t="s">
        <v>210</v>
      </c>
      <c r="D202" s="47"/>
      <c r="E202" s="47"/>
      <c r="F202" s="49"/>
      <c r="G202" s="100"/>
      <c r="H202" s="128"/>
      <c r="I202" s="50"/>
      <c r="J202" s="1"/>
      <c r="K202" s="1"/>
      <c r="P202" s="1"/>
      <c r="Q202" s="1"/>
      <c r="R202" s="1"/>
      <c r="S202" s="1"/>
    </row>
    <row r="203" spans="1:19" ht="42.75" x14ac:dyDescent="0.25">
      <c r="A203" s="92" t="s">
        <v>23</v>
      </c>
      <c r="B203" s="186" t="s">
        <v>9</v>
      </c>
      <c r="C203" s="68" t="s">
        <v>52</v>
      </c>
      <c r="D203" s="18" t="s">
        <v>53</v>
      </c>
      <c r="E203" s="18">
        <v>1.01</v>
      </c>
      <c r="F203" s="27"/>
      <c r="G203" s="110">
        <v>0</v>
      </c>
      <c r="H203" s="95"/>
      <c r="I203" s="54">
        <f>E203*G203</f>
        <v>0</v>
      </c>
      <c r="J203" s="1"/>
      <c r="K203" s="1"/>
      <c r="P203" s="1"/>
      <c r="Q203" s="1"/>
      <c r="R203" s="1"/>
      <c r="S203" s="1"/>
    </row>
    <row r="204" spans="1:19" x14ac:dyDescent="0.25">
      <c r="A204" s="10" t="s">
        <v>24</v>
      </c>
      <c r="B204" s="187" t="s">
        <v>13</v>
      </c>
      <c r="C204" s="64" t="s">
        <v>54</v>
      </c>
      <c r="D204" s="65" t="s">
        <v>38</v>
      </c>
      <c r="E204" s="66">
        <f>0.606*E203</f>
        <v>0.61</v>
      </c>
      <c r="F204" s="29">
        <v>0</v>
      </c>
      <c r="G204" s="15"/>
      <c r="H204" s="29">
        <f t="shared" ref="H204:H205" si="18">E204*F204</f>
        <v>0</v>
      </c>
      <c r="I204" s="15"/>
      <c r="J204" s="1"/>
      <c r="K204" s="1"/>
      <c r="P204" s="1"/>
      <c r="Q204" s="1"/>
      <c r="R204" s="1"/>
      <c r="S204" s="1"/>
    </row>
    <row r="205" spans="1:19" ht="30" x14ac:dyDescent="0.25">
      <c r="A205" s="10" t="s">
        <v>59</v>
      </c>
      <c r="B205" s="187" t="s">
        <v>13</v>
      </c>
      <c r="C205" s="115" t="s">
        <v>195</v>
      </c>
      <c r="D205" s="12" t="s">
        <v>57</v>
      </c>
      <c r="E205" s="12">
        <f>2.9+0.3</f>
        <v>3.2</v>
      </c>
      <c r="F205" s="29">
        <v>0</v>
      </c>
      <c r="G205" s="94"/>
      <c r="H205" s="107">
        <f t="shared" si="18"/>
        <v>0</v>
      </c>
      <c r="I205" s="15"/>
      <c r="J205" s="1"/>
      <c r="K205" s="1"/>
      <c r="P205" s="1"/>
      <c r="Q205" s="1"/>
      <c r="R205" s="1"/>
      <c r="S205" s="1"/>
    </row>
    <row r="206" spans="1:19" ht="28.5" x14ac:dyDescent="0.25">
      <c r="A206" s="16" t="s">
        <v>50</v>
      </c>
      <c r="B206" s="190" t="s">
        <v>9</v>
      </c>
      <c r="C206" s="17" t="s">
        <v>212</v>
      </c>
      <c r="D206" s="18" t="s">
        <v>14</v>
      </c>
      <c r="E206" s="18">
        <v>2</v>
      </c>
      <c r="F206" s="13"/>
      <c r="G206" s="110">
        <v>0</v>
      </c>
      <c r="H206" s="95"/>
      <c r="I206" s="54">
        <f>E206*G206</f>
        <v>0</v>
      </c>
      <c r="J206" s="1"/>
      <c r="K206" s="1"/>
      <c r="P206" s="1"/>
      <c r="Q206" s="1"/>
      <c r="R206" s="1"/>
      <c r="S206" s="1"/>
    </row>
    <row r="207" spans="1:19" x14ac:dyDescent="0.25">
      <c r="A207" s="10" t="s">
        <v>26</v>
      </c>
      <c r="B207" s="187" t="s">
        <v>13</v>
      </c>
      <c r="C207" s="11" t="s">
        <v>213</v>
      </c>
      <c r="D207" s="12" t="s">
        <v>14</v>
      </c>
      <c r="E207" s="12">
        <v>2</v>
      </c>
      <c r="F207" s="14">
        <v>0</v>
      </c>
      <c r="G207" s="94"/>
      <c r="H207" s="107">
        <f>E207*F207</f>
        <v>0</v>
      </c>
      <c r="I207" s="15"/>
      <c r="J207" s="1"/>
      <c r="K207" s="1"/>
      <c r="P207" s="1"/>
      <c r="Q207" s="1"/>
      <c r="R207" s="1"/>
      <c r="S207" s="1"/>
    </row>
    <row r="208" spans="1:19" x14ac:dyDescent="0.25">
      <c r="A208" s="10" t="s">
        <v>27</v>
      </c>
      <c r="B208" s="187" t="s">
        <v>13</v>
      </c>
      <c r="C208" s="11" t="s">
        <v>214</v>
      </c>
      <c r="D208" s="12" t="s">
        <v>14</v>
      </c>
      <c r="E208" s="12">
        <v>2</v>
      </c>
      <c r="F208" s="14">
        <v>0</v>
      </c>
      <c r="G208" s="94"/>
      <c r="H208" s="107">
        <f>E208*F208</f>
        <v>0</v>
      </c>
      <c r="I208" s="15"/>
      <c r="J208" s="1"/>
      <c r="K208" s="1"/>
      <c r="P208" s="1"/>
      <c r="Q208" s="1"/>
      <c r="R208" s="1"/>
      <c r="S208" s="1"/>
    </row>
    <row r="209" spans="1:19" ht="28.5" x14ac:dyDescent="0.25">
      <c r="A209" s="16" t="s">
        <v>29</v>
      </c>
      <c r="B209" s="190" t="s">
        <v>9</v>
      </c>
      <c r="C209" s="17" t="s">
        <v>215</v>
      </c>
      <c r="D209" s="18" t="s">
        <v>53</v>
      </c>
      <c r="E209" s="18">
        <v>1.8</v>
      </c>
      <c r="F209" s="13"/>
      <c r="G209" s="110">
        <v>0</v>
      </c>
      <c r="H209" s="95"/>
      <c r="I209" s="54">
        <f>E209*G209</f>
        <v>0</v>
      </c>
      <c r="J209" s="1"/>
      <c r="K209" s="1"/>
      <c r="P209" s="1"/>
      <c r="Q209" s="1"/>
      <c r="R209" s="1"/>
      <c r="S209" s="1"/>
    </row>
    <row r="210" spans="1:19" ht="15.75" thickBot="1" x14ac:dyDescent="0.3">
      <c r="A210" s="345" t="s">
        <v>31</v>
      </c>
      <c r="B210" s="346" t="s">
        <v>13</v>
      </c>
      <c r="C210" s="330" t="s">
        <v>191</v>
      </c>
      <c r="D210" s="342" t="s">
        <v>53</v>
      </c>
      <c r="E210" s="342">
        <v>1.8</v>
      </c>
      <c r="F210" s="347">
        <v>0</v>
      </c>
      <c r="G210" s="343"/>
      <c r="H210" s="344">
        <f>E210*F210</f>
        <v>0</v>
      </c>
      <c r="I210" s="334"/>
      <c r="J210" s="1"/>
      <c r="K210" s="1"/>
      <c r="P210" s="1"/>
      <c r="Q210" s="1"/>
      <c r="R210" s="1"/>
      <c r="S210" s="1"/>
    </row>
    <row r="211" spans="1:19" ht="15.75" thickBot="1" x14ac:dyDescent="0.3">
      <c r="A211" s="43"/>
      <c r="B211" s="189"/>
      <c r="C211" s="238" t="s">
        <v>407</v>
      </c>
      <c r="D211" s="47"/>
      <c r="E211" s="47"/>
      <c r="F211" s="49"/>
      <c r="G211" s="100"/>
      <c r="H211" s="113">
        <f>SUM(H204:H210)</f>
        <v>0</v>
      </c>
      <c r="I211" s="81">
        <f>SUM(I203:I210)</f>
        <v>0</v>
      </c>
      <c r="J211" s="1"/>
      <c r="K211" s="1"/>
      <c r="P211" s="1"/>
      <c r="Q211" s="1"/>
      <c r="R211" s="1"/>
      <c r="S211" s="1"/>
    </row>
    <row r="212" spans="1:19" ht="15.75" thickBot="1" x14ac:dyDescent="0.3">
      <c r="A212" s="43"/>
      <c r="B212" s="189"/>
      <c r="C212" s="45" t="s">
        <v>216</v>
      </c>
      <c r="D212" s="47"/>
      <c r="E212" s="47"/>
      <c r="F212" s="49"/>
      <c r="G212" s="100"/>
      <c r="H212" s="128"/>
      <c r="I212" s="50"/>
      <c r="J212" s="1"/>
      <c r="K212" s="1"/>
      <c r="P212" s="1"/>
      <c r="Q212" s="1"/>
      <c r="R212" s="1"/>
      <c r="S212" s="1"/>
    </row>
    <row r="213" spans="1:19" ht="42.75" x14ac:dyDescent="0.25">
      <c r="A213" s="125">
        <v>7</v>
      </c>
      <c r="B213" s="186" t="s">
        <v>9</v>
      </c>
      <c r="C213" s="68" t="s">
        <v>206</v>
      </c>
      <c r="D213" s="83" t="s">
        <v>53</v>
      </c>
      <c r="E213" s="83">
        <f>62.52+1*0.497</f>
        <v>63.017000000000003</v>
      </c>
      <c r="F213" s="132"/>
      <c r="G213" s="59">
        <v>0</v>
      </c>
      <c r="H213" s="132"/>
      <c r="I213" s="59">
        <f>E213*G213</f>
        <v>0</v>
      </c>
      <c r="J213" s="1"/>
      <c r="K213" s="1"/>
      <c r="P213" s="1"/>
      <c r="Q213" s="1"/>
      <c r="R213" s="1"/>
      <c r="S213" s="1"/>
    </row>
    <row r="214" spans="1:19" x14ac:dyDescent="0.25">
      <c r="A214" s="10" t="s">
        <v>33</v>
      </c>
      <c r="B214" s="187" t="s">
        <v>13</v>
      </c>
      <c r="C214" s="11" t="s">
        <v>54</v>
      </c>
      <c r="D214" s="20" t="s">
        <v>38</v>
      </c>
      <c r="E214" s="70">
        <f>1.22*E213</f>
        <v>76.88</v>
      </c>
      <c r="F214" s="29">
        <v>0</v>
      </c>
      <c r="G214" s="15"/>
      <c r="H214" s="29">
        <f t="shared" ref="H214" si="19">E214*F214</f>
        <v>0</v>
      </c>
      <c r="I214" s="15"/>
      <c r="J214" s="1"/>
      <c r="K214" s="1"/>
      <c r="P214" s="1"/>
      <c r="Q214" s="1"/>
      <c r="R214" s="1"/>
      <c r="S214" s="1"/>
    </row>
    <row r="215" spans="1:19" ht="30" x14ac:dyDescent="0.25">
      <c r="A215" s="10" t="s">
        <v>34</v>
      </c>
      <c r="B215" s="187" t="s">
        <v>13</v>
      </c>
      <c r="C215" s="348" t="s">
        <v>217</v>
      </c>
      <c r="D215" s="12" t="s">
        <v>57</v>
      </c>
      <c r="E215" s="12">
        <v>0.1</v>
      </c>
      <c r="F215" s="14">
        <v>0</v>
      </c>
      <c r="G215" s="94"/>
      <c r="H215" s="107">
        <f>E215*F215</f>
        <v>0</v>
      </c>
      <c r="I215" s="15"/>
      <c r="J215" s="1"/>
      <c r="K215" s="1"/>
      <c r="P215" s="1"/>
      <c r="Q215" s="1"/>
      <c r="R215" s="1"/>
      <c r="S215" s="1"/>
    </row>
    <row r="216" spans="1:19" ht="30" x14ac:dyDescent="0.25">
      <c r="A216" s="10" t="s">
        <v>35</v>
      </c>
      <c r="B216" s="187" t="s">
        <v>13</v>
      </c>
      <c r="C216" s="64" t="s">
        <v>218</v>
      </c>
      <c r="D216" s="12" t="s">
        <v>57</v>
      </c>
      <c r="E216" s="12">
        <v>52</v>
      </c>
      <c r="F216" s="14">
        <v>0</v>
      </c>
      <c r="G216" s="94"/>
      <c r="H216" s="107">
        <f t="shared" ref="H216:H218" si="20">E216*F216</f>
        <v>0</v>
      </c>
      <c r="I216" s="15"/>
      <c r="J216" s="1"/>
      <c r="K216" s="1"/>
      <c r="P216" s="1"/>
      <c r="Q216" s="1"/>
      <c r="R216" s="1"/>
      <c r="S216" s="1"/>
    </row>
    <row r="217" spans="1:19" ht="30" x14ac:dyDescent="0.25">
      <c r="A217" s="10" t="s">
        <v>134</v>
      </c>
      <c r="B217" s="187" t="s">
        <v>13</v>
      </c>
      <c r="C217" s="64" t="s">
        <v>219</v>
      </c>
      <c r="D217" s="20" t="s">
        <v>14</v>
      </c>
      <c r="E217" s="20">
        <v>1</v>
      </c>
      <c r="F217" s="14">
        <v>0</v>
      </c>
      <c r="G217" s="94"/>
      <c r="H217" s="107">
        <f t="shared" si="20"/>
        <v>0</v>
      </c>
      <c r="I217" s="15"/>
      <c r="J217" s="1"/>
      <c r="K217" s="1"/>
      <c r="P217" s="1"/>
      <c r="Q217" s="1"/>
      <c r="R217" s="1"/>
      <c r="S217" s="1"/>
    </row>
    <row r="218" spans="1:19" x14ac:dyDescent="0.25">
      <c r="A218" s="10" t="s">
        <v>135</v>
      </c>
      <c r="B218" s="187" t="s">
        <v>13</v>
      </c>
      <c r="C218" s="64" t="s">
        <v>220</v>
      </c>
      <c r="D218" s="20" t="s">
        <v>53</v>
      </c>
      <c r="E218" s="20">
        <v>0.1</v>
      </c>
      <c r="F218" s="14">
        <v>0</v>
      </c>
      <c r="G218" s="94"/>
      <c r="H218" s="107">
        <f t="shared" si="20"/>
        <v>0</v>
      </c>
      <c r="I218" s="15"/>
      <c r="J218" s="1"/>
      <c r="K218" s="1"/>
      <c r="P218" s="1"/>
      <c r="Q218" s="1"/>
      <c r="R218" s="1"/>
      <c r="S218" s="1"/>
    </row>
    <row r="219" spans="1:19" x14ac:dyDescent="0.25">
      <c r="A219" s="16" t="s">
        <v>36</v>
      </c>
      <c r="B219" s="263" t="s">
        <v>9</v>
      </c>
      <c r="C219" s="264" t="s">
        <v>452</v>
      </c>
      <c r="D219" s="19" t="s">
        <v>14</v>
      </c>
      <c r="E219" s="19">
        <v>1</v>
      </c>
      <c r="F219" s="27"/>
      <c r="G219" s="110">
        <v>0</v>
      </c>
      <c r="H219" s="95"/>
      <c r="I219" s="54">
        <f>E219*G219</f>
        <v>0</v>
      </c>
      <c r="J219" s="1"/>
      <c r="K219" s="1"/>
      <c r="P219" s="1"/>
      <c r="Q219" s="1"/>
      <c r="R219" s="1"/>
      <c r="S219" s="1"/>
    </row>
    <row r="220" spans="1:19" x14ac:dyDescent="0.25">
      <c r="A220" s="10" t="s">
        <v>37</v>
      </c>
      <c r="B220" s="349" t="s">
        <v>13</v>
      </c>
      <c r="C220" s="64" t="s">
        <v>331</v>
      </c>
      <c r="D220" s="20" t="s">
        <v>14</v>
      </c>
      <c r="E220" s="20">
        <v>1</v>
      </c>
      <c r="F220" s="29">
        <v>0</v>
      </c>
      <c r="G220" s="94"/>
      <c r="H220" s="107">
        <f>E220*F220</f>
        <v>0</v>
      </c>
      <c r="I220" s="15"/>
      <c r="J220" s="1"/>
      <c r="K220" s="1"/>
      <c r="P220" s="1"/>
      <c r="Q220" s="1"/>
      <c r="R220" s="1"/>
      <c r="S220" s="1"/>
    </row>
    <row r="221" spans="1:19" ht="28.5" x14ac:dyDescent="0.25">
      <c r="A221" s="87" t="s">
        <v>39</v>
      </c>
      <c r="B221" s="217" t="s">
        <v>9</v>
      </c>
      <c r="C221" s="17" t="s">
        <v>200</v>
      </c>
      <c r="D221" s="19" t="s">
        <v>53</v>
      </c>
      <c r="E221" s="18">
        <v>65.2</v>
      </c>
      <c r="F221" s="27"/>
      <c r="G221" s="110">
        <v>0</v>
      </c>
      <c r="H221" s="95"/>
      <c r="I221" s="54">
        <f>E221*G221</f>
        <v>0</v>
      </c>
      <c r="J221" s="1"/>
      <c r="K221" s="1"/>
      <c r="P221" s="1"/>
      <c r="Q221" s="1"/>
      <c r="R221" s="1"/>
      <c r="S221" s="1"/>
    </row>
    <row r="222" spans="1:19" x14ac:dyDescent="0.25">
      <c r="A222" s="86" t="s">
        <v>40</v>
      </c>
      <c r="B222" s="217" t="s">
        <v>13</v>
      </c>
      <c r="C222" s="167" t="s">
        <v>198</v>
      </c>
      <c r="D222" s="84" t="s">
        <v>53</v>
      </c>
      <c r="E222" s="12">
        <f>1.1*E221</f>
        <v>71.72</v>
      </c>
      <c r="F222" s="29">
        <v>0</v>
      </c>
      <c r="G222" s="94"/>
      <c r="H222" s="107">
        <f>E222*F222</f>
        <v>0</v>
      </c>
      <c r="I222" s="15"/>
      <c r="J222" s="1"/>
      <c r="K222" s="1"/>
      <c r="P222" s="1"/>
      <c r="Q222" s="1"/>
      <c r="R222" s="1"/>
      <c r="S222" s="1"/>
    </row>
    <row r="223" spans="1:19" x14ac:dyDescent="0.25">
      <c r="A223" s="350" t="s">
        <v>41</v>
      </c>
      <c r="B223" s="340" t="s">
        <v>13</v>
      </c>
      <c r="C223" s="341" t="s">
        <v>199</v>
      </c>
      <c r="D223" s="85" t="s">
        <v>38</v>
      </c>
      <c r="E223" s="342">
        <f>0.7*E221</f>
        <v>45.64</v>
      </c>
      <c r="F223" s="333">
        <v>0</v>
      </c>
      <c r="G223" s="343"/>
      <c r="H223" s="344">
        <f>E223*F223</f>
        <v>0</v>
      </c>
      <c r="I223" s="334"/>
      <c r="J223" s="1"/>
      <c r="K223" s="1"/>
      <c r="P223" s="1"/>
      <c r="Q223" s="1"/>
      <c r="R223" s="1"/>
      <c r="S223" s="1"/>
    </row>
    <row r="224" spans="1:19" ht="28.5" x14ac:dyDescent="0.25">
      <c r="A224" s="16" t="s">
        <v>233</v>
      </c>
      <c r="B224" s="201" t="s">
        <v>9</v>
      </c>
      <c r="C224" s="17" t="s">
        <v>47</v>
      </c>
      <c r="D224" s="20" t="s">
        <v>14</v>
      </c>
      <c r="E224" s="19">
        <v>1</v>
      </c>
      <c r="F224" s="13"/>
      <c r="G224" s="110">
        <v>0</v>
      </c>
      <c r="H224" s="95"/>
      <c r="I224" s="54">
        <f>E224*G224</f>
        <v>0</v>
      </c>
      <c r="J224" s="1"/>
      <c r="K224" s="1"/>
      <c r="P224" s="1"/>
      <c r="Q224" s="1"/>
      <c r="R224" s="1"/>
      <c r="S224" s="1"/>
    </row>
    <row r="225" spans="1:19" ht="30.75" thickBot="1" x14ac:dyDescent="0.3">
      <c r="A225" s="345" t="s">
        <v>42</v>
      </c>
      <c r="B225" s="177" t="s">
        <v>13</v>
      </c>
      <c r="C225" s="114" t="s">
        <v>221</v>
      </c>
      <c r="D225" s="331" t="s">
        <v>14</v>
      </c>
      <c r="E225" s="331">
        <v>1</v>
      </c>
      <c r="F225" s="347">
        <v>0</v>
      </c>
      <c r="G225" s="343"/>
      <c r="H225" s="344">
        <f>E225*F225</f>
        <v>0</v>
      </c>
      <c r="I225" s="334"/>
      <c r="J225" s="1"/>
      <c r="K225" s="1"/>
      <c r="P225" s="1"/>
      <c r="Q225" s="1"/>
      <c r="R225" s="1"/>
      <c r="S225" s="1"/>
    </row>
    <row r="226" spans="1:19" ht="15.75" thickBot="1" x14ac:dyDescent="0.3">
      <c r="A226" s="43"/>
      <c r="B226" s="191"/>
      <c r="C226" s="248" t="s">
        <v>407</v>
      </c>
      <c r="D226" s="46"/>
      <c r="E226" s="46"/>
      <c r="F226" s="49"/>
      <c r="G226" s="100"/>
      <c r="H226" s="113">
        <f>SUM(H214:H225)</f>
        <v>0</v>
      </c>
      <c r="I226" s="81">
        <f>SUM(I213:I225)</f>
        <v>0</v>
      </c>
      <c r="J226" s="1"/>
      <c r="K226" s="1"/>
      <c r="P226" s="1"/>
      <c r="Q226" s="1"/>
      <c r="R226" s="1"/>
      <c r="S226" s="1"/>
    </row>
    <row r="227" spans="1:19" ht="15.75" thickBot="1" x14ac:dyDescent="0.3">
      <c r="A227" s="43"/>
      <c r="B227" s="191"/>
      <c r="C227" s="129" t="s">
        <v>222</v>
      </c>
      <c r="D227" s="46"/>
      <c r="E227" s="46"/>
      <c r="F227" s="49"/>
      <c r="G227" s="100"/>
      <c r="H227" s="128"/>
      <c r="I227" s="50"/>
      <c r="J227" s="1"/>
      <c r="K227" s="1" t="s">
        <v>53</v>
      </c>
      <c r="L227" s="108" t="s">
        <v>552</v>
      </c>
      <c r="P227" s="1"/>
      <c r="Q227" s="1"/>
      <c r="R227" s="1"/>
      <c r="S227" s="1"/>
    </row>
    <row r="228" spans="1:19" ht="42.75" x14ac:dyDescent="0.25">
      <c r="A228" s="89" t="s">
        <v>68</v>
      </c>
      <c r="B228" s="181" t="s">
        <v>9</v>
      </c>
      <c r="C228" s="5" t="s">
        <v>52</v>
      </c>
      <c r="D228" s="51" t="s">
        <v>53</v>
      </c>
      <c r="E228" s="4">
        <v>2.29</v>
      </c>
      <c r="F228" s="8"/>
      <c r="G228" s="154">
        <v>0</v>
      </c>
      <c r="H228" s="6"/>
      <c r="I228" s="40">
        <f>E228*G228</f>
        <v>0</v>
      </c>
      <c r="J228" s="1"/>
      <c r="K228" s="1">
        <f>K230+K231+K232+K233+K234</f>
        <v>2.29</v>
      </c>
      <c r="P228" s="1"/>
      <c r="Q228" s="1"/>
      <c r="R228" s="1"/>
      <c r="S228" s="1"/>
    </row>
    <row r="229" spans="1:19" x14ac:dyDescent="0.25">
      <c r="A229" s="106" t="s">
        <v>69</v>
      </c>
      <c r="B229" s="253" t="s">
        <v>13</v>
      </c>
      <c r="C229" s="167" t="s">
        <v>149</v>
      </c>
      <c r="D229" s="84" t="s">
        <v>38</v>
      </c>
      <c r="E229" s="254">
        <f>0.606*E228</f>
        <v>1.39</v>
      </c>
      <c r="F229" s="57">
        <v>0</v>
      </c>
      <c r="G229" s="93"/>
      <c r="H229" s="116">
        <f>E229*F229</f>
        <v>0</v>
      </c>
      <c r="I229" s="112"/>
      <c r="J229" s="1"/>
      <c r="K229" s="1"/>
      <c r="P229" s="1"/>
      <c r="Q229" s="1"/>
      <c r="R229" s="1"/>
      <c r="S229" s="1"/>
    </row>
    <row r="230" spans="1:19" ht="30" x14ac:dyDescent="0.25">
      <c r="A230" s="10" t="s">
        <v>70</v>
      </c>
      <c r="B230" s="349" t="s">
        <v>13</v>
      </c>
      <c r="C230" s="64" t="s">
        <v>195</v>
      </c>
      <c r="D230" s="20" t="s">
        <v>57</v>
      </c>
      <c r="E230" s="12">
        <v>5</v>
      </c>
      <c r="F230" s="14">
        <v>0</v>
      </c>
      <c r="G230" s="94"/>
      <c r="H230" s="107">
        <f>E230*F230</f>
        <v>0</v>
      </c>
      <c r="I230" s="15"/>
      <c r="J230" s="1"/>
      <c r="K230" s="1">
        <v>1.57</v>
      </c>
      <c r="L230" s="108">
        <f>2.6+0.9+0.3+0.6+0.6</f>
        <v>5</v>
      </c>
      <c r="P230" s="1"/>
      <c r="Q230" s="1"/>
      <c r="R230" s="1"/>
      <c r="S230" s="1"/>
    </row>
    <row r="231" spans="1:19" x14ac:dyDescent="0.25">
      <c r="A231" s="106" t="s">
        <v>71</v>
      </c>
      <c r="B231" s="349" t="s">
        <v>13</v>
      </c>
      <c r="C231" s="64" t="s">
        <v>225</v>
      </c>
      <c r="D231" s="20" t="s">
        <v>14</v>
      </c>
      <c r="E231" s="12">
        <f>1+1</f>
        <v>2</v>
      </c>
      <c r="F231" s="14">
        <v>0</v>
      </c>
      <c r="G231" s="94"/>
      <c r="H231" s="107">
        <f t="shared" ref="H231:H234" si="21">E231*F231</f>
        <v>0</v>
      </c>
      <c r="I231" s="15"/>
      <c r="J231" s="1"/>
      <c r="K231" s="1">
        <f>0.05*E231</f>
        <v>0.1</v>
      </c>
      <c r="P231" s="1"/>
      <c r="Q231" s="1"/>
      <c r="R231" s="1"/>
      <c r="S231" s="1"/>
    </row>
    <row r="232" spans="1:19" x14ac:dyDescent="0.25">
      <c r="A232" s="10" t="s">
        <v>431</v>
      </c>
      <c r="B232" s="349" t="s">
        <v>13</v>
      </c>
      <c r="C232" s="64" t="s">
        <v>226</v>
      </c>
      <c r="D232" s="20" t="s">
        <v>14</v>
      </c>
      <c r="E232" s="12">
        <f>1+1</f>
        <v>2</v>
      </c>
      <c r="F232" s="14">
        <v>0</v>
      </c>
      <c r="G232" s="94"/>
      <c r="H232" s="107">
        <f t="shared" si="21"/>
        <v>0</v>
      </c>
      <c r="I232" s="15"/>
      <c r="J232" s="1"/>
      <c r="K232" s="1">
        <f>0.02*E232</f>
        <v>0.04</v>
      </c>
      <c r="P232" s="1"/>
      <c r="Q232" s="1"/>
      <c r="R232" s="1"/>
      <c r="S232" s="1"/>
    </row>
    <row r="233" spans="1:19" x14ac:dyDescent="0.25">
      <c r="A233" s="106" t="s">
        <v>432</v>
      </c>
      <c r="B233" s="351" t="s">
        <v>13</v>
      </c>
      <c r="C233" s="64" t="s">
        <v>228</v>
      </c>
      <c r="D233" s="20" t="s">
        <v>14</v>
      </c>
      <c r="E233" s="20">
        <f>2+2</f>
        <v>4</v>
      </c>
      <c r="F233" s="14">
        <v>0</v>
      </c>
      <c r="G233" s="352"/>
      <c r="H233" s="107">
        <f t="shared" si="21"/>
        <v>0</v>
      </c>
      <c r="I233" s="353"/>
      <c r="J233" s="1"/>
      <c r="K233" s="1">
        <f>0.07*E233</f>
        <v>0.28000000000000003</v>
      </c>
      <c r="P233" s="1"/>
      <c r="Q233" s="1"/>
      <c r="R233" s="1"/>
      <c r="S233" s="1"/>
    </row>
    <row r="234" spans="1:19" x14ac:dyDescent="0.25">
      <c r="A234" s="10" t="s">
        <v>553</v>
      </c>
      <c r="B234" s="351" t="s">
        <v>13</v>
      </c>
      <c r="C234" s="64" t="s">
        <v>229</v>
      </c>
      <c r="D234" s="20" t="s">
        <v>14</v>
      </c>
      <c r="E234" s="65">
        <v>3</v>
      </c>
      <c r="F234" s="14">
        <v>0</v>
      </c>
      <c r="G234" s="352"/>
      <c r="H234" s="107">
        <f t="shared" si="21"/>
        <v>0</v>
      </c>
      <c r="I234" s="353"/>
      <c r="J234" s="1"/>
      <c r="K234" s="1">
        <f>0.1*E234</f>
        <v>0.3</v>
      </c>
      <c r="P234" s="1"/>
      <c r="Q234" s="1"/>
      <c r="R234" s="1"/>
      <c r="S234" s="1"/>
    </row>
    <row r="235" spans="1:19" ht="42.75" x14ac:dyDescent="0.25">
      <c r="A235" s="92" t="s">
        <v>239</v>
      </c>
      <c r="B235" s="228" t="s">
        <v>9</v>
      </c>
      <c r="C235" s="220" t="s">
        <v>136</v>
      </c>
      <c r="D235" s="83" t="s">
        <v>53</v>
      </c>
      <c r="E235" s="125">
        <v>78.48</v>
      </c>
      <c r="F235" s="58"/>
      <c r="G235" s="130">
        <v>0</v>
      </c>
      <c r="H235" s="127"/>
      <c r="I235" s="59">
        <f>E235*G235</f>
        <v>0</v>
      </c>
      <c r="J235" s="1"/>
      <c r="K235" s="1">
        <f>K237+K238+K239</f>
        <v>78.48</v>
      </c>
      <c r="P235" s="1"/>
      <c r="Q235" s="1"/>
      <c r="R235" s="1"/>
      <c r="S235" s="1"/>
    </row>
    <row r="236" spans="1:19" x14ac:dyDescent="0.25">
      <c r="A236" s="106" t="s">
        <v>72</v>
      </c>
      <c r="B236" s="253" t="s">
        <v>13</v>
      </c>
      <c r="C236" s="167" t="s">
        <v>149</v>
      </c>
      <c r="D236" s="84" t="s">
        <v>38</v>
      </c>
      <c r="E236" s="254">
        <f>0.606*E235</f>
        <v>47.56</v>
      </c>
      <c r="F236" s="57">
        <v>0</v>
      </c>
      <c r="G236" s="93"/>
      <c r="H236" s="116">
        <f>E236*F236</f>
        <v>0</v>
      </c>
      <c r="I236" s="112"/>
      <c r="J236" s="1"/>
      <c r="K236" s="1"/>
      <c r="P236" s="1"/>
      <c r="Q236" s="1"/>
      <c r="R236" s="1"/>
      <c r="S236" s="1"/>
    </row>
    <row r="237" spans="1:19" ht="30" x14ac:dyDescent="0.25">
      <c r="A237" s="10" t="s">
        <v>73</v>
      </c>
      <c r="B237" s="349" t="s">
        <v>13</v>
      </c>
      <c r="C237" s="64" t="s">
        <v>196</v>
      </c>
      <c r="D237" s="20" t="s">
        <v>57</v>
      </c>
      <c r="E237" s="12">
        <v>246.4</v>
      </c>
      <c r="F237" s="14">
        <v>0</v>
      </c>
      <c r="G237" s="94"/>
      <c r="H237" s="107">
        <f>E237*F237</f>
        <v>0</v>
      </c>
      <c r="I237" s="15"/>
      <c r="J237" s="1"/>
      <c r="K237" s="1">
        <v>77.41</v>
      </c>
      <c r="P237" s="1"/>
      <c r="Q237" s="1"/>
      <c r="R237" s="1"/>
      <c r="S237" s="1"/>
    </row>
    <row r="238" spans="1:19" x14ac:dyDescent="0.25">
      <c r="A238" s="106" t="s">
        <v>71</v>
      </c>
      <c r="B238" s="351" t="s">
        <v>13</v>
      </c>
      <c r="C238" s="64" t="s">
        <v>227</v>
      </c>
      <c r="D238" s="20" t="s">
        <v>14</v>
      </c>
      <c r="E238" s="20">
        <v>10</v>
      </c>
      <c r="F238" s="13"/>
      <c r="G238" s="352"/>
      <c r="H238" s="95"/>
      <c r="I238" s="353"/>
      <c r="J238" s="1"/>
      <c r="K238" s="1">
        <f>0.1*E238</f>
        <v>1</v>
      </c>
      <c r="P238" s="1"/>
      <c r="Q238" s="1"/>
      <c r="R238" s="1"/>
      <c r="S238" s="1"/>
    </row>
    <row r="239" spans="1:19" x14ac:dyDescent="0.25">
      <c r="A239" s="10" t="s">
        <v>431</v>
      </c>
      <c r="B239" s="351" t="s">
        <v>13</v>
      </c>
      <c r="C239" s="64" t="s">
        <v>554</v>
      </c>
      <c r="D239" s="20" t="s">
        <v>14</v>
      </c>
      <c r="E239" s="20">
        <v>1</v>
      </c>
      <c r="F239" s="14">
        <v>0</v>
      </c>
      <c r="G239" s="352"/>
      <c r="H239" s="107">
        <f>F239*E239</f>
        <v>0</v>
      </c>
      <c r="I239" s="353"/>
      <c r="J239" s="1"/>
      <c r="K239" s="1">
        <f>0.07*E239</f>
        <v>7.0000000000000007E-2</v>
      </c>
      <c r="P239" s="1"/>
      <c r="Q239" s="1"/>
      <c r="R239" s="1"/>
      <c r="S239" s="1"/>
    </row>
    <row r="240" spans="1:19" x14ac:dyDescent="0.25">
      <c r="A240" s="16" t="s">
        <v>75</v>
      </c>
      <c r="B240" s="192" t="s">
        <v>9</v>
      </c>
      <c r="C240" s="21" t="s">
        <v>231</v>
      </c>
      <c r="D240" s="22" t="s">
        <v>14</v>
      </c>
      <c r="E240" s="22">
        <v>5</v>
      </c>
      <c r="F240" s="23"/>
      <c r="G240" s="111">
        <v>0</v>
      </c>
      <c r="H240" s="95"/>
      <c r="I240" s="24">
        <f>E240*G240</f>
        <v>0</v>
      </c>
      <c r="J240" s="1"/>
      <c r="K240" s="1"/>
      <c r="P240" s="1"/>
      <c r="Q240" s="1"/>
      <c r="R240" s="1"/>
      <c r="S240" s="1"/>
    </row>
    <row r="241" spans="1:19" ht="30" x14ac:dyDescent="0.25">
      <c r="A241" s="10" t="s">
        <v>76</v>
      </c>
      <c r="B241" s="354" t="s">
        <v>13</v>
      </c>
      <c r="C241" s="328" t="s">
        <v>232</v>
      </c>
      <c r="D241" s="355" t="s">
        <v>14</v>
      </c>
      <c r="E241" s="355">
        <v>5</v>
      </c>
      <c r="F241" s="356">
        <v>0</v>
      </c>
      <c r="G241" s="357"/>
      <c r="H241" s="358">
        <f>E241*F241</f>
        <v>0</v>
      </c>
      <c r="I241" s="15"/>
      <c r="J241" s="1"/>
      <c r="K241" s="1"/>
      <c r="P241" s="1"/>
      <c r="Q241" s="1"/>
      <c r="R241" s="1"/>
      <c r="S241" s="1"/>
    </row>
    <row r="242" spans="1:19" ht="28.5" x14ac:dyDescent="0.25">
      <c r="A242" s="25" t="s">
        <v>77</v>
      </c>
      <c r="B242" s="193" t="s">
        <v>9</v>
      </c>
      <c r="C242" s="17" t="s">
        <v>234</v>
      </c>
      <c r="D242" s="26" t="s">
        <v>14</v>
      </c>
      <c r="E242" s="308">
        <v>5</v>
      </c>
      <c r="F242" s="27"/>
      <c r="G242" s="110">
        <v>0</v>
      </c>
      <c r="H242" s="95"/>
      <c r="I242" s="54">
        <f>E242*G242</f>
        <v>0</v>
      </c>
      <c r="J242" s="1"/>
      <c r="K242" s="1"/>
      <c r="P242" s="1"/>
      <c r="Q242" s="1"/>
      <c r="R242" s="1"/>
      <c r="S242" s="1"/>
    </row>
    <row r="243" spans="1:19" x14ac:dyDescent="0.25">
      <c r="A243" s="28" t="s">
        <v>78</v>
      </c>
      <c r="B243" s="194" t="s">
        <v>13</v>
      </c>
      <c r="C243" s="359" t="s">
        <v>235</v>
      </c>
      <c r="D243" s="360" t="s">
        <v>14</v>
      </c>
      <c r="E243" s="361">
        <v>5</v>
      </c>
      <c r="F243" s="29">
        <v>0</v>
      </c>
      <c r="G243" s="94"/>
      <c r="H243" s="107">
        <f>E243*F243</f>
        <v>0</v>
      </c>
      <c r="I243" s="15"/>
      <c r="J243" s="1"/>
      <c r="K243" s="1"/>
      <c r="P243" s="1"/>
      <c r="Q243" s="1"/>
      <c r="R243" s="1"/>
      <c r="S243" s="1"/>
    </row>
    <row r="244" spans="1:19" x14ac:dyDescent="0.25">
      <c r="A244" s="18">
        <v>15</v>
      </c>
      <c r="B244" s="195" t="s">
        <v>9</v>
      </c>
      <c r="C244" s="17" t="s">
        <v>236</v>
      </c>
      <c r="D244" s="19" t="s">
        <v>14</v>
      </c>
      <c r="E244" s="18">
        <v>5</v>
      </c>
      <c r="F244" s="27"/>
      <c r="G244" s="110">
        <v>0</v>
      </c>
      <c r="H244" s="95"/>
      <c r="I244" s="54">
        <f>E244*G244</f>
        <v>0</v>
      </c>
      <c r="J244" s="1"/>
      <c r="K244" s="1"/>
      <c r="P244" s="1"/>
      <c r="Q244" s="1"/>
      <c r="R244" s="1"/>
      <c r="S244" s="1"/>
    </row>
    <row r="245" spans="1:19" x14ac:dyDescent="0.25">
      <c r="A245" s="28" t="s">
        <v>80</v>
      </c>
      <c r="B245" s="194" t="s">
        <v>13</v>
      </c>
      <c r="C245" s="359" t="s">
        <v>237</v>
      </c>
      <c r="D245" s="360" t="s">
        <v>14</v>
      </c>
      <c r="E245" s="361">
        <v>5</v>
      </c>
      <c r="F245" s="29">
        <v>0</v>
      </c>
      <c r="G245" s="94"/>
      <c r="H245" s="107">
        <f>E245*F245</f>
        <v>0</v>
      </c>
      <c r="I245" s="15"/>
      <c r="J245" s="1"/>
      <c r="K245" s="1"/>
      <c r="P245" s="1"/>
      <c r="Q245" s="1"/>
      <c r="R245" s="1"/>
      <c r="S245" s="1"/>
    </row>
    <row r="246" spans="1:19" ht="28.5" x14ac:dyDescent="0.25">
      <c r="A246" s="25" t="s">
        <v>85</v>
      </c>
      <c r="B246" s="265" t="s">
        <v>9</v>
      </c>
      <c r="C246" s="21" t="s">
        <v>126</v>
      </c>
      <c r="D246" s="26" t="s">
        <v>14</v>
      </c>
      <c r="E246" s="308">
        <v>2</v>
      </c>
      <c r="F246" s="27"/>
      <c r="G246" s="110">
        <v>0</v>
      </c>
      <c r="H246" s="95"/>
      <c r="I246" s="54">
        <f>E246*G246</f>
        <v>0</v>
      </c>
      <c r="J246" s="1"/>
      <c r="K246" s="1"/>
      <c r="P246" s="1"/>
      <c r="Q246" s="1"/>
      <c r="R246" s="1"/>
      <c r="S246" s="1"/>
    </row>
    <row r="247" spans="1:19" ht="30" x14ac:dyDescent="0.25">
      <c r="A247" s="10" t="s">
        <v>86</v>
      </c>
      <c r="B247" s="194" t="s">
        <v>13</v>
      </c>
      <c r="C247" s="11" t="s">
        <v>238</v>
      </c>
      <c r="D247" s="20" t="s">
        <v>14</v>
      </c>
      <c r="E247" s="12">
        <v>2</v>
      </c>
      <c r="F247" s="14">
        <v>0</v>
      </c>
      <c r="G247" s="94"/>
      <c r="H247" s="107">
        <f>E247*F247</f>
        <v>0</v>
      </c>
      <c r="I247" s="15"/>
      <c r="J247" s="1"/>
      <c r="K247" s="1"/>
      <c r="P247" s="1"/>
      <c r="Q247" s="1"/>
      <c r="R247" s="1"/>
      <c r="S247" s="1"/>
    </row>
    <row r="248" spans="1:19" x14ac:dyDescent="0.25">
      <c r="A248" s="16" t="s">
        <v>87</v>
      </c>
      <c r="B248" s="265" t="s">
        <v>9</v>
      </c>
      <c r="C248" s="17" t="s">
        <v>347</v>
      </c>
      <c r="D248" s="19" t="s">
        <v>14</v>
      </c>
      <c r="E248" s="18">
        <v>3</v>
      </c>
      <c r="F248" s="27"/>
      <c r="G248" s="110">
        <v>0</v>
      </c>
      <c r="H248" s="95"/>
      <c r="I248" s="54">
        <f>E248*G248</f>
        <v>0</v>
      </c>
      <c r="J248" s="1"/>
      <c r="K248" s="1"/>
      <c r="P248" s="1"/>
      <c r="Q248" s="1"/>
      <c r="R248" s="1"/>
      <c r="S248" s="1"/>
    </row>
    <row r="249" spans="1:19" x14ac:dyDescent="0.25">
      <c r="A249" s="10" t="s">
        <v>88</v>
      </c>
      <c r="B249" s="194" t="s">
        <v>13</v>
      </c>
      <c r="C249" s="11" t="s">
        <v>348</v>
      </c>
      <c r="D249" s="20" t="s">
        <v>14</v>
      </c>
      <c r="E249" s="12">
        <v>3</v>
      </c>
      <c r="F249" s="29">
        <v>0</v>
      </c>
      <c r="G249" s="94"/>
      <c r="H249" s="107">
        <f>E249*F249</f>
        <v>0</v>
      </c>
      <c r="I249" s="15"/>
      <c r="J249" s="1"/>
      <c r="K249" s="1"/>
      <c r="P249" s="1"/>
      <c r="Q249" s="1"/>
      <c r="R249" s="1"/>
      <c r="S249" s="1"/>
    </row>
    <row r="250" spans="1:19" ht="28.5" x14ac:dyDescent="0.25">
      <c r="A250" s="87" t="s">
        <v>91</v>
      </c>
      <c r="B250" s="229" t="s">
        <v>9</v>
      </c>
      <c r="C250" s="17" t="s">
        <v>200</v>
      </c>
      <c r="D250" s="19" t="s">
        <v>53</v>
      </c>
      <c r="E250" s="18">
        <v>85.9</v>
      </c>
      <c r="F250" s="27"/>
      <c r="G250" s="110">
        <v>0</v>
      </c>
      <c r="H250" s="95"/>
      <c r="I250" s="54">
        <f>E250*G250</f>
        <v>0</v>
      </c>
      <c r="J250" s="1"/>
      <c r="K250" s="1"/>
      <c r="L250" s="108">
        <f>16.8+16.8+17.6+18+16.7</f>
        <v>85.9</v>
      </c>
      <c r="P250" s="1"/>
      <c r="Q250" s="1"/>
      <c r="R250" s="1"/>
      <c r="S250" s="1"/>
    </row>
    <row r="251" spans="1:19" x14ac:dyDescent="0.25">
      <c r="A251" s="86" t="s">
        <v>92</v>
      </c>
      <c r="B251" s="217" t="s">
        <v>13</v>
      </c>
      <c r="C251" s="167" t="s">
        <v>198</v>
      </c>
      <c r="D251" s="84" t="s">
        <v>53</v>
      </c>
      <c r="E251" s="12">
        <f>1.1*85.9</f>
        <v>94.49</v>
      </c>
      <c r="F251" s="29">
        <v>0</v>
      </c>
      <c r="G251" s="94"/>
      <c r="H251" s="107">
        <f>E251*F251</f>
        <v>0</v>
      </c>
      <c r="I251" s="15"/>
      <c r="J251" s="1"/>
      <c r="K251" s="1"/>
      <c r="P251" s="1"/>
      <c r="Q251" s="1"/>
      <c r="R251" s="1"/>
      <c r="S251" s="1"/>
    </row>
    <row r="252" spans="1:19" x14ac:dyDescent="0.25">
      <c r="A252" s="86" t="s">
        <v>93</v>
      </c>
      <c r="B252" s="217" t="s">
        <v>13</v>
      </c>
      <c r="C252" s="167" t="s">
        <v>259</v>
      </c>
      <c r="D252" s="84" t="s">
        <v>38</v>
      </c>
      <c r="E252" s="12">
        <f>0.7*E250</f>
        <v>60.13</v>
      </c>
      <c r="F252" s="29">
        <v>0</v>
      </c>
      <c r="G252" s="94"/>
      <c r="H252" s="107">
        <f>E252*F252</f>
        <v>0</v>
      </c>
      <c r="I252" s="15"/>
      <c r="J252" s="1"/>
      <c r="K252" s="1"/>
      <c r="P252" s="1"/>
      <c r="Q252" s="1"/>
      <c r="R252" s="1"/>
      <c r="S252" s="1"/>
    </row>
    <row r="253" spans="1:19" ht="28.5" x14ac:dyDescent="0.25">
      <c r="A253" s="82" t="s">
        <v>95</v>
      </c>
      <c r="B253" s="196" t="s">
        <v>9</v>
      </c>
      <c r="C253" s="131" t="s">
        <v>240</v>
      </c>
      <c r="D253" s="125" t="s">
        <v>14</v>
      </c>
      <c r="E253" s="125">
        <v>1</v>
      </c>
      <c r="F253" s="132"/>
      <c r="G253" s="130">
        <v>0</v>
      </c>
      <c r="H253" s="127"/>
      <c r="I253" s="59">
        <f>E253*G253</f>
        <v>0</v>
      </c>
      <c r="J253" s="1"/>
      <c r="K253" s="1"/>
      <c r="P253" s="1"/>
      <c r="Q253" s="1"/>
      <c r="R253" s="1"/>
      <c r="S253" s="1"/>
    </row>
    <row r="254" spans="1:19" ht="30" x14ac:dyDescent="0.25">
      <c r="A254" s="362" t="s">
        <v>96</v>
      </c>
      <c r="B254" s="363" t="s">
        <v>13</v>
      </c>
      <c r="C254" s="364" t="s">
        <v>241</v>
      </c>
      <c r="D254" s="338" t="s">
        <v>14</v>
      </c>
      <c r="E254" s="338">
        <v>1</v>
      </c>
      <c r="F254" s="336">
        <v>0</v>
      </c>
      <c r="G254" s="93"/>
      <c r="H254" s="116">
        <f>E254*F254</f>
        <v>0</v>
      </c>
      <c r="I254" s="112"/>
      <c r="J254" s="1"/>
      <c r="K254" s="1"/>
      <c r="P254" s="1"/>
      <c r="Q254" s="1"/>
      <c r="R254" s="1"/>
      <c r="S254" s="1"/>
    </row>
    <row r="255" spans="1:19" x14ac:dyDescent="0.25">
      <c r="A255" s="82" t="s">
        <v>98</v>
      </c>
      <c r="B255" s="196" t="s">
        <v>9</v>
      </c>
      <c r="C255" s="131" t="s">
        <v>10</v>
      </c>
      <c r="D255" s="125" t="s">
        <v>14</v>
      </c>
      <c r="E255" s="125">
        <v>5</v>
      </c>
      <c r="F255" s="132"/>
      <c r="G255" s="130">
        <v>0</v>
      </c>
      <c r="H255" s="127"/>
      <c r="I255" s="59">
        <f>E255*G255</f>
        <v>0</v>
      </c>
      <c r="J255" s="1"/>
      <c r="K255" s="1"/>
      <c r="P255" s="1"/>
      <c r="Q255" s="1"/>
      <c r="R255" s="1"/>
      <c r="S255" s="1"/>
    </row>
    <row r="256" spans="1:19" ht="30.75" thickBot="1" x14ac:dyDescent="0.3">
      <c r="A256" s="133" t="s">
        <v>99</v>
      </c>
      <c r="B256" s="197" t="s">
        <v>13</v>
      </c>
      <c r="C256" s="134" t="s">
        <v>242</v>
      </c>
      <c r="D256" s="96" t="s">
        <v>14</v>
      </c>
      <c r="E256" s="96">
        <v>5</v>
      </c>
      <c r="F256" s="135">
        <v>0</v>
      </c>
      <c r="G256" s="136"/>
      <c r="H256" s="137">
        <f>E256*F256</f>
        <v>0</v>
      </c>
      <c r="I256" s="35"/>
      <c r="J256" s="1"/>
      <c r="K256" s="1"/>
      <c r="P256" s="1"/>
      <c r="Q256" s="1"/>
      <c r="R256" s="1"/>
      <c r="S256" s="1"/>
    </row>
    <row r="257" spans="1:19" ht="15.75" thickBot="1" x14ac:dyDescent="0.3">
      <c r="A257" s="139"/>
      <c r="B257" s="206"/>
      <c r="C257" s="249" t="s">
        <v>407</v>
      </c>
      <c r="D257" s="250"/>
      <c r="E257" s="250"/>
      <c r="F257" s="169"/>
      <c r="G257" s="251"/>
      <c r="H257" s="170">
        <f>SUM(H229:H256)</f>
        <v>0</v>
      </c>
      <c r="I257" s="252">
        <f>SUM(I228:I256)</f>
        <v>0</v>
      </c>
      <c r="J257" s="1"/>
      <c r="K257" s="1"/>
      <c r="P257" s="1"/>
      <c r="Q257" s="1"/>
      <c r="R257" s="1"/>
      <c r="S257" s="1"/>
    </row>
    <row r="258" spans="1:19" x14ac:dyDescent="0.25">
      <c r="A258" s="37"/>
      <c r="B258" s="184"/>
      <c r="C258" s="5" t="s">
        <v>412</v>
      </c>
      <c r="D258" s="39"/>
      <c r="E258" s="39"/>
      <c r="F258" s="75"/>
      <c r="G258" s="97"/>
      <c r="H258" s="6">
        <f>H201+H211+H226+H257</f>
        <v>0</v>
      </c>
      <c r="I258" s="40">
        <f>I201+I211+I226+I257</f>
        <v>0</v>
      </c>
      <c r="J258" s="1"/>
      <c r="K258" s="1"/>
      <c r="P258" s="1"/>
      <c r="Q258" s="1"/>
      <c r="R258" s="1"/>
      <c r="S258" s="1"/>
    </row>
    <row r="259" spans="1:19" ht="15.75" thickBot="1" x14ac:dyDescent="0.3">
      <c r="A259" s="30"/>
      <c r="B259" s="185"/>
      <c r="C259" s="41" t="s">
        <v>413</v>
      </c>
      <c r="D259" s="32"/>
      <c r="E259" s="32"/>
      <c r="F259" s="56"/>
      <c r="G259" s="98"/>
      <c r="H259" s="99"/>
      <c r="I259" s="77">
        <f>H258+I258</f>
        <v>0</v>
      </c>
      <c r="J259" s="1"/>
      <c r="K259" s="1"/>
      <c r="P259" s="1"/>
      <c r="Q259" s="1"/>
      <c r="R259" s="1"/>
      <c r="S259" s="1"/>
    </row>
    <row r="260" spans="1:19" ht="15.75" thickBot="1" x14ac:dyDescent="0.3">
      <c r="A260" s="126"/>
      <c r="B260" s="145" t="s">
        <v>411</v>
      </c>
      <c r="C260" s="138" t="s">
        <v>243</v>
      </c>
      <c r="D260" s="47"/>
      <c r="E260" s="47"/>
      <c r="F260" s="119"/>
      <c r="G260" s="100"/>
      <c r="H260" s="128"/>
      <c r="I260" s="50"/>
      <c r="J260" s="1"/>
      <c r="K260" s="1"/>
      <c r="P260" s="1"/>
      <c r="Q260" s="1"/>
      <c r="R260" s="1"/>
      <c r="S260" s="1"/>
    </row>
    <row r="261" spans="1:19" ht="15.75" thickBot="1" x14ac:dyDescent="0.3">
      <c r="A261" s="146"/>
      <c r="B261" s="198"/>
      <c r="C261" s="147" t="s">
        <v>245</v>
      </c>
      <c r="D261" s="148"/>
      <c r="E261" s="148"/>
      <c r="F261" s="149"/>
      <c r="G261" s="150"/>
      <c r="H261" s="151"/>
      <c r="I261" s="152"/>
      <c r="J261" s="1"/>
      <c r="K261" s="1"/>
      <c r="P261" s="1"/>
      <c r="Q261" s="1"/>
      <c r="R261" s="1"/>
      <c r="S261" s="1"/>
    </row>
    <row r="262" spans="1:19" ht="27.75" customHeight="1" x14ac:dyDescent="0.25">
      <c r="A262" s="4">
        <v>1</v>
      </c>
      <c r="B262" s="199" t="s">
        <v>9</v>
      </c>
      <c r="C262" s="5" t="s">
        <v>25</v>
      </c>
      <c r="D262" s="153" t="s">
        <v>11</v>
      </c>
      <c r="E262" s="4">
        <v>1</v>
      </c>
      <c r="F262" s="6"/>
      <c r="G262" s="154">
        <v>0</v>
      </c>
      <c r="H262" s="6"/>
      <c r="I262" s="40">
        <f>E262*G262</f>
        <v>0</v>
      </c>
      <c r="J262" s="1"/>
      <c r="K262" s="1"/>
      <c r="P262" s="1"/>
      <c r="Q262" s="1"/>
      <c r="R262" s="1"/>
      <c r="S262" s="1"/>
    </row>
    <row r="263" spans="1:19" x14ac:dyDescent="0.25">
      <c r="A263" s="10" t="s">
        <v>12</v>
      </c>
      <c r="B263" s="187" t="s">
        <v>13</v>
      </c>
      <c r="C263" s="64" t="s">
        <v>246</v>
      </c>
      <c r="D263" s="12" t="s">
        <v>14</v>
      </c>
      <c r="E263" s="12">
        <v>1</v>
      </c>
      <c r="F263" s="14">
        <v>0</v>
      </c>
      <c r="G263" s="94"/>
      <c r="H263" s="107">
        <f>E263*F263</f>
        <v>0</v>
      </c>
      <c r="I263" s="15"/>
      <c r="J263" s="1"/>
      <c r="K263" s="1"/>
      <c r="P263" s="1"/>
      <c r="Q263" s="1"/>
      <c r="R263" s="1"/>
      <c r="S263" s="1"/>
    </row>
    <row r="264" spans="1:19" x14ac:dyDescent="0.25">
      <c r="A264" s="10" t="s">
        <v>15</v>
      </c>
      <c r="B264" s="187" t="s">
        <v>13</v>
      </c>
      <c r="C264" s="64" t="s">
        <v>247</v>
      </c>
      <c r="D264" s="12" t="s">
        <v>14</v>
      </c>
      <c r="E264" s="12">
        <v>1</v>
      </c>
      <c r="F264" s="14">
        <v>0</v>
      </c>
      <c r="G264" s="94"/>
      <c r="H264" s="107">
        <f>E264*F264</f>
        <v>0</v>
      </c>
      <c r="I264" s="15"/>
      <c r="J264" s="1"/>
      <c r="K264" s="1"/>
      <c r="P264" s="1"/>
      <c r="Q264" s="1"/>
      <c r="R264" s="1"/>
      <c r="S264" s="1"/>
    </row>
    <row r="265" spans="1:19" ht="28.5" x14ac:dyDescent="0.25">
      <c r="A265" s="16" t="s">
        <v>455</v>
      </c>
      <c r="B265" s="188" t="s">
        <v>9</v>
      </c>
      <c r="C265" s="264" t="s">
        <v>555</v>
      </c>
      <c r="D265" s="18" t="s">
        <v>454</v>
      </c>
      <c r="E265" s="18">
        <v>5</v>
      </c>
      <c r="F265" s="13"/>
      <c r="G265" s="110">
        <v>0</v>
      </c>
      <c r="H265" s="95"/>
      <c r="I265" s="54">
        <f>E265*G265</f>
        <v>0</v>
      </c>
      <c r="J265" s="1"/>
      <c r="K265" s="1"/>
      <c r="P265" s="1"/>
      <c r="Q265" s="1"/>
      <c r="R265" s="1"/>
      <c r="S265" s="1"/>
    </row>
    <row r="266" spans="1:19" ht="42.75" x14ac:dyDescent="0.25">
      <c r="A266" s="16" t="s">
        <v>16</v>
      </c>
      <c r="B266" s="190" t="s">
        <v>9</v>
      </c>
      <c r="C266" s="264" t="s">
        <v>248</v>
      </c>
      <c r="D266" s="18" t="s">
        <v>53</v>
      </c>
      <c r="E266" s="18">
        <f>4.52+2*1.91</f>
        <v>8.34</v>
      </c>
      <c r="F266" s="13"/>
      <c r="G266" s="110">
        <v>0</v>
      </c>
      <c r="H266" s="95"/>
      <c r="I266" s="54">
        <f>E266*G266</f>
        <v>0</v>
      </c>
      <c r="J266" s="1"/>
      <c r="K266" s="1"/>
      <c r="P266" s="1"/>
      <c r="Q266" s="1"/>
      <c r="R266" s="1"/>
      <c r="S266" s="1"/>
    </row>
    <row r="267" spans="1:19" x14ac:dyDescent="0.25">
      <c r="A267" s="10" t="s">
        <v>17</v>
      </c>
      <c r="B267" s="200" t="s">
        <v>13</v>
      </c>
      <c r="C267" s="64" t="s">
        <v>149</v>
      </c>
      <c r="D267" s="12" t="s">
        <v>38</v>
      </c>
      <c r="E267" s="72">
        <f>2.55*E266</f>
        <v>21.27</v>
      </c>
      <c r="F267" s="14">
        <v>0</v>
      </c>
      <c r="G267" s="94"/>
      <c r="H267" s="107">
        <f>E267*F267</f>
        <v>0</v>
      </c>
      <c r="I267" s="15"/>
      <c r="J267" s="1"/>
      <c r="K267" s="1"/>
      <c r="P267" s="1"/>
      <c r="Q267" s="1"/>
      <c r="R267" s="1"/>
      <c r="S267" s="1"/>
    </row>
    <row r="268" spans="1:19" ht="30" x14ac:dyDescent="0.25">
      <c r="A268" s="10" t="s">
        <v>18</v>
      </c>
      <c r="B268" s="187" t="s">
        <v>13</v>
      </c>
      <c r="C268" s="64" t="s">
        <v>249</v>
      </c>
      <c r="D268" s="12" t="s">
        <v>57</v>
      </c>
      <c r="E268" s="12">
        <v>1.8</v>
      </c>
      <c r="F268" s="14">
        <v>0</v>
      </c>
      <c r="G268" s="94"/>
      <c r="H268" s="107">
        <f>E268*F268</f>
        <v>0</v>
      </c>
      <c r="I268" s="15"/>
      <c r="J268" s="1"/>
      <c r="K268" s="1"/>
      <c r="P268" s="1"/>
      <c r="Q268" s="1"/>
      <c r="R268" s="1"/>
      <c r="S268" s="1"/>
    </row>
    <row r="269" spans="1:19" x14ac:dyDescent="0.25">
      <c r="A269" s="10" t="s">
        <v>46</v>
      </c>
      <c r="B269" s="187" t="s">
        <v>13</v>
      </c>
      <c r="C269" s="64" t="s">
        <v>250</v>
      </c>
      <c r="D269" s="12" t="s">
        <v>14</v>
      </c>
      <c r="E269" s="12">
        <v>2</v>
      </c>
      <c r="F269" s="14">
        <v>0</v>
      </c>
      <c r="G269" s="94"/>
      <c r="H269" s="107">
        <f>E269*F269</f>
        <v>0</v>
      </c>
      <c r="I269" s="15"/>
      <c r="J269" s="1"/>
      <c r="K269" s="1"/>
      <c r="P269" s="1"/>
      <c r="Q269" s="1"/>
      <c r="R269" s="1"/>
      <c r="S269" s="1"/>
    </row>
    <row r="270" spans="1:19" x14ac:dyDescent="0.25">
      <c r="A270" s="10" t="s">
        <v>48</v>
      </c>
      <c r="B270" s="187" t="s">
        <v>13</v>
      </c>
      <c r="C270" s="64" t="s">
        <v>251</v>
      </c>
      <c r="D270" s="12" t="s">
        <v>53</v>
      </c>
      <c r="E270" s="12">
        <v>0.5</v>
      </c>
      <c r="F270" s="14">
        <v>0</v>
      </c>
      <c r="G270" s="94"/>
      <c r="H270" s="107">
        <f t="shared" ref="H270:H271" si="22">E270*F270</f>
        <v>0</v>
      </c>
      <c r="I270" s="15"/>
      <c r="J270" s="1"/>
      <c r="K270" s="1"/>
      <c r="P270" s="1"/>
      <c r="Q270" s="1"/>
      <c r="R270" s="1"/>
      <c r="S270" s="1"/>
    </row>
    <row r="271" spans="1:19" x14ac:dyDescent="0.25">
      <c r="A271" s="10" t="s">
        <v>49</v>
      </c>
      <c r="B271" s="187" t="s">
        <v>13</v>
      </c>
      <c r="C271" s="64" t="s">
        <v>252</v>
      </c>
      <c r="D271" s="12" t="s">
        <v>14</v>
      </c>
      <c r="E271" s="12">
        <v>1</v>
      </c>
      <c r="F271" s="14">
        <v>0</v>
      </c>
      <c r="G271" s="94"/>
      <c r="H271" s="107">
        <f t="shared" si="22"/>
        <v>0</v>
      </c>
      <c r="I271" s="15"/>
      <c r="J271" s="1"/>
      <c r="K271" s="1"/>
      <c r="P271" s="1"/>
      <c r="Q271" s="1"/>
      <c r="R271" s="1"/>
      <c r="S271" s="1"/>
    </row>
    <row r="272" spans="1:19" ht="28.5" x14ac:dyDescent="0.25">
      <c r="A272" s="16" t="s">
        <v>19</v>
      </c>
      <c r="B272" s="190" t="s">
        <v>9</v>
      </c>
      <c r="C272" s="17" t="s">
        <v>254</v>
      </c>
      <c r="D272" s="18" t="s">
        <v>14</v>
      </c>
      <c r="E272" s="18">
        <v>2</v>
      </c>
      <c r="F272" s="13"/>
      <c r="G272" s="110">
        <v>0</v>
      </c>
      <c r="H272" s="95"/>
      <c r="I272" s="54">
        <f>E272*G272</f>
        <v>0</v>
      </c>
      <c r="J272" s="1"/>
      <c r="K272" s="1"/>
      <c r="P272" s="1"/>
      <c r="Q272" s="1"/>
      <c r="R272" s="1"/>
      <c r="S272" s="1"/>
    </row>
    <row r="273" spans="1:19" ht="30" x14ac:dyDescent="0.25">
      <c r="A273" s="10" t="s">
        <v>21</v>
      </c>
      <c r="B273" s="187" t="s">
        <v>13</v>
      </c>
      <c r="C273" s="11" t="s">
        <v>253</v>
      </c>
      <c r="D273" s="12" t="s">
        <v>14</v>
      </c>
      <c r="E273" s="12">
        <v>1</v>
      </c>
      <c r="F273" s="14">
        <v>0</v>
      </c>
      <c r="G273" s="94"/>
      <c r="H273" s="107">
        <f>E273*F273</f>
        <v>0</v>
      </c>
      <c r="I273" s="15"/>
      <c r="J273" s="1"/>
      <c r="K273" s="1"/>
      <c r="P273" s="1"/>
      <c r="Q273" s="1"/>
      <c r="R273" s="1"/>
      <c r="S273" s="1"/>
    </row>
    <row r="274" spans="1:19" ht="30" x14ac:dyDescent="0.25">
      <c r="A274" s="10" t="s">
        <v>22</v>
      </c>
      <c r="B274" s="187" t="s">
        <v>13</v>
      </c>
      <c r="C274" s="11" t="s">
        <v>255</v>
      </c>
      <c r="D274" s="12" t="s">
        <v>14</v>
      </c>
      <c r="E274" s="12">
        <v>1</v>
      </c>
      <c r="F274" s="14">
        <v>0</v>
      </c>
      <c r="G274" s="94"/>
      <c r="H274" s="107">
        <f>E274*F274</f>
        <v>0</v>
      </c>
      <c r="I274" s="15"/>
      <c r="J274" s="1"/>
      <c r="K274" s="1"/>
      <c r="P274" s="1"/>
      <c r="Q274" s="1"/>
      <c r="R274" s="1"/>
      <c r="S274" s="1"/>
    </row>
    <row r="275" spans="1:19" ht="28.5" x14ac:dyDescent="0.25">
      <c r="A275" s="16" t="s">
        <v>23</v>
      </c>
      <c r="B275" s="190" t="s">
        <v>9</v>
      </c>
      <c r="C275" s="17" t="s">
        <v>256</v>
      </c>
      <c r="D275" s="19" t="s">
        <v>53</v>
      </c>
      <c r="E275" s="18">
        <v>11.1</v>
      </c>
      <c r="F275" s="13"/>
      <c r="G275" s="110">
        <v>0</v>
      </c>
      <c r="H275" s="95"/>
      <c r="I275" s="54">
        <f>E275*G275</f>
        <v>0</v>
      </c>
      <c r="J275" s="1"/>
      <c r="K275" s="1"/>
      <c r="P275" s="1"/>
      <c r="Q275" s="1"/>
      <c r="R275" s="1"/>
      <c r="S275" s="1"/>
    </row>
    <row r="276" spans="1:19" x14ac:dyDescent="0.25">
      <c r="A276" s="10" t="s">
        <v>24</v>
      </c>
      <c r="B276" s="187" t="s">
        <v>13</v>
      </c>
      <c r="C276" s="167" t="s">
        <v>257</v>
      </c>
      <c r="D276" s="84" t="s">
        <v>53</v>
      </c>
      <c r="E276" s="12">
        <f>1.1*E275</f>
        <v>12.21</v>
      </c>
      <c r="F276" s="14">
        <v>0</v>
      </c>
      <c r="G276" s="94"/>
      <c r="H276" s="107">
        <f>E276*F276</f>
        <v>0</v>
      </c>
      <c r="I276" s="15"/>
      <c r="J276" s="1"/>
      <c r="K276" s="1"/>
      <c r="P276" s="1"/>
      <c r="Q276" s="1"/>
      <c r="R276" s="1"/>
      <c r="S276" s="1"/>
    </row>
    <row r="277" spans="1:19" ht="15.75" thickBot="1" x14ac:dyDescent="0.3">
      <c r="A277" s="345" t="s">
        <v>59</v>
      </c>
      <c r="B277" s="365" t="s">
        <v>13</v>
      </c>
      <c r="C277" s="341" t="s">
        <v>258</v>
      </c>
      <c r="D277" s="85" t="s">
        <v>38</v>
      </c>
      <c r="E277" s="342">
        <f>2.8*E275</f>
        <v>31.08</v>
      </c>
      <c r="F277" s="347">
        <v>0</v>
      </c>
      <c r="G277" s="343"/>
      <c r="H277" s="344">
        <f>E277*F277</f>
        <v>0</v>
      </c>
      <c r="I277" s="334"/>
      <c r="J277" s="1"/>
      <c r="K277" s="1"/>
      <c r="P277" s="1"/>
      <c r="Q277" s="1"/>
      <c r="R277" s="1"/>
      <c r="S277" s="1"/>
    </row>
    <row r="278" spans="1:19" ht="15.75" thickBot="1" x14ac:dyDescent="0.3">
      <c r="A278" s="43"/>
      <c r="B278" s="366"/>
      <c r="C278" s="168"/>
      <c r="D278" s="46"/>
      <c r="E278" s="47"/>
      <c r="F278" s="49"/>
      <c r="G278" s="100"/>
      <c r="H278" s="113">
        <f>SUM(H263:H277)</f>
        <v>0</v>
      </c>
      <c r="I278" s="81">
        <f>SUM(I262:I277)</f>
        <v>0</v>
      </c>
      <c r="J278" s="1"/>
      <c r="K278" s="1"/>
      <c r="P278" s="1"/>
      <c r="Q278" s="1"/>
      <c r="R278" s="1"/>
      <c r="S278" s="1"/>
    </row>
    <row r="279" spans="1:19" ht="15.75" thickBot="1" x14ac:dyDescent="0.3">
      <c r="A279" s="47"/>
      <c r="B279" s="366"/>
      <c r="C279" s="45" t="s">
        <v>260</v>
      </c>
      <c r="D279" s="46"/>
      <c r="E279" s="47"/>
      <c r="F279" s="49"/>
      <c r="G279" s="100"/>
      <c r="H279" s="128"/>
      <c r="I279" s="50"/>
      <c r="J279" s="1"/>
      <c r="K279" s="1"/>
      <c r="P279" s="1"/>
      <c r="Q279" s="1"/>
      <c r="R279" s="1"/>
      <c r="S279" s="1"/>
    </row>
    <row r="280" spans="1:19" ht="47.25" x14ac:dyDescent="0.25">
      <c r="A280" s="155" t="s">
        <v>50</v>
      </c>
      <c r="B280" s="199" t="s">
        <v>9</v>
      </c>
      <c r="C280" s="5" t="s">
        <v>25</v>
      </c>
      <c r="D280" s="153" t="s">
        <v>11</v>
      </c>
      <c r="E280" s="4">
        <v>1</v>
      </c>
      <c r="F280" s="6"/>
      <c r="G280" s="154">
        <v>0</v>
      </c>
      <c r="H280" s="6"/>
      <c r="I280" s="40">
        <f>E280*G280</f>
        <v>0</v>
      </c>
      <c r="J280" s="1"/>
      <c r="K280" s="1"/>
      <c r="P280" s="1"/>
      <c r="Q280" s="1"/>
      <c r="R280" s="1"/>
      <c r="S280" s="1"/>
    </row>
    <row r="281" spans="1:19" ht="30" x14ac:dyDescent="0.25">
      <c r="A281" s="10" t="s">
        <v>26</v>
      </c>
      <c r="B281" s="187" t="s">
        <v>13</v>
      </c>
      <c r="C281" s="348" t="s">
        <v>261</v>
      </c>
      <c r="D281" s="12" t="s">
        <v>14</v>
      </c>
      <c r="E281" s="12">
        <v>1</v>
      </c>
      <c r="F281" s="14">
        <v>0</v>
      </c>
      <c r="G281" s="94"/>
      <c r="H281" s="107">
        <f>E281*F281</f>
        <v>0</v>
      </c>
      <c r="I281" s="15"/>
      <c r="J281" s="1"/>
      <c r="K281" s="1"/>
      <c r="P281" s="1"/>
      <c r="Q281" s="1"/>
      <c r="R281" s="1"/>
      <c r="S281" s="1"/>
    </row>
    <row r="282" spans="1:19" x14ac:dyDescent="0.25">
      <c r="A282" s="10" t="s">
        <v>27</v>
      </c>
      <c r="B282" s="187" t="s">
        <v>13</v>
      </c>
      <c r="C282" s="64" t="s">
        <v>262</v>
      </c>
      <c r="D282" s="12" t="s">
        <v>14</v>
      </c>
      <c r="E282" s="12">
        <v>1</v>
      </c>
      <c r="F282" s="14">
        <v>0</v>
      </c>
      <c r="G282" s="94"/>
      <c r="H282" s="107">
        <f>E282*F282</f>
        <v>0</v>
      </c>
      <c r="I282" s="15"/>
      <c r="J282" s="1"/>
      <c r="K282" s="1"/>
      <c r="P282" s="1"/>
      <c r="Q282" s="1"/>
      <c r="R282" s="1"/>
      <c r="S282" s="1"/>
    </row>
    <row r="283" spans="1:19" ht="28.5" x14ac:dyDescent="0.25">
      <c r="A283" s="16" t="s">
        <v>456</v>
      </c>
      <c r="B283" s="263" t="s">
        <v>9</v>
      </c>
      <c r="C283" s="264" t="s">
        <v>556</v>
      </c>
      <c r="D283" s="19" t="s">
        <v>454</v>
      </c>
      <c r="E283" s="19">
        <v>5</v>
      </c>
      <c r="F283" s="13"/>
      <c r="G283" s="110">
        <v>0</v>
      </c>
      <c r="H283" s="95"/>
      <c r="I283" s="54">
        <f>E283*G283</f>
        <v>0</v>
      </c>
      <c r="J283" s="1"/>
      <c r="K283" s="1"/>
      <c r="P283" s="1"/>
      <c r="Q283" s="1"/>
      <c r="R283" s="1"/>
      <c r="S283" s="1"/>
    </row>
    <row r="284" spans="1:19" ht="42.75" x14ac:dyDescent="0.25">
      <c r="A284" s="16" t="s">
        <v>29</v>
      </c>
      <c r="B284" s="201" t="s">
        <v>9</v>
      </c>
      <c r="C284" s="264" t="s">
        <v>248</v>
      </c>
      <c r="D284" s="19" t="s">
        <v>53</v>
      </c>
      <c r="E284" s="19">
        <v>8.74</v>
      </c>
      <c r="F284" s="13"/>
      <c r="G284" s="110">
        <v>0</v>
      </c>
      <c r="H284" s="95"/>
      <c r="I284" s="54">
        <f>E284*G284</f>
        <v>0</v>
      </c>
      <c r="J284" s="1"/>
      <c r="K284" s="1">
        <f>K286+K287+K290</f>
        <v>8.74</v>
      </c>
      <c r="P284" s="1"/>
      <c r="Q284" s="1"/>
      <c r="R284" s="1"/>
      <c r="S284" s="1"/>
    </row>
    <row r="285" spans="1:19" x14ac:dyDescent="0.25">
      <c r="A285" s="10" t="s">
        <v>31</v>
      </c>
      <c r="B285" s="200" t="s">
        <v>13</v>
      </c>
      <c r="C285" s="64" t="s">
        <v>149</v>
      </c>
      <c r="D285" s="12" t="s">
        <v>38</v>
      </c>
      <c r="E285" s="72">
        <f>2.55*E284</f>
        <v>22.29</v>
      </c>
      <c r="F285" s="14">
        <v>0</v>
      </c>
      <c r="G285" s="94"/>
      <c r="H285" s="107">
        <f>E285*F285</f>
        <v>0</v>
      </c>
      <c r="I285" s="15"/>
      <c r="J285" s="1"/>
      <c r="K285" s="1"/>
      <c r="P285" s="1"/>
      <c r="Q285" s="1"/>
      <c r="R285" s="1"/>
      <c r="S285" s="1"/>
    </row>
    <row r="286" spans="1:19" ht="30" x14ac:dyDescent="0.25">
      <c r="A286" s="10" t="s">
        <v>62</v>
      </c>
      <c r="B286" s="187" t="s">
        <v>13</v>
      </c>
      <c r="C286" s="64" t="s">
        <v>263</v>
      </c>
      <c r="D286" s="12" t="s">
        <v>57</v>
      </c>
      <c r="E286" s="12">
        <v>2.1</v>
      </c>
      <c r="F286" s="14">
        <v>0</v>
      </c>
      <c r="G286" s="94"/>
      <c r="H286" s="107">
        <f>E286*F286</f>
        <v>0</v>
      </c>
      <c r="I286" s="15"/>
      <c r="J286" s="1"/>
      <c r="K286" s="1">
        <v>4.68</v>
      </c>
      <c r="P286" s="1"/>
      <c r="Q286" s="1"/>
      <c r="R286" s="1"/>
      <c r="S286" s="1"/>
    </row>
    <row r="287" spans="1:19" x14ac:dyDescent="0.25">
      <c r="A287" s="10" t="s">
        <v>63</v>
      </c>
      <c r="B287" s="187" t="s">
        <v>13</v>
      </c>
      <c r="C287" s="64" t="s">
        <v>265</v>
      </c>
      <c r="D287" s="12" t="s">
        <v>14</v>
      </c>
      <c r="E287" s="12">
        <v>2</v>
      </c>
      <c r="F287" s="14">
        <v>0</v>
      </c>
      <c r="G287" s="94"/>
      <c r="H287" s="107">
        <f>E287*F287</f>
        <v>0</v>
      </c>
      <c r="I287" s="15"/>
      <c r="J287" s="1"/>
      <c r="K287" s="1">
        <f>1.53*E287</f>
        <v>3.06</v>
      </c>
      <c r="P287" s="1"/>
      <c r="Q287" s="1"/>
      <c r="R287" s="1"/>
      <c r="S287" s="1"/>
    </row>
    <row r="288" spans="1:19" x14ac:dyDescent="0.25">
      <c r="A288" s="10" t="s">
        <v>64</v>
      </c>
      <c r="B288" s="187" t="s">
        <v>13</v>
      </c>
      <c r="C288" s="64" t="s">
        <v>251</v>
      </c>
      <c r="D288" s="12" t="s">
        <v>53</v>
      </c>
      <c r="E288" s="12">
        <v>0.4</v>
      </c>
      <c r="F288" s="14">
        <v>0</v>
      </c>
      <c r="G288" s="94"/>
      <c r="H288" s="107">
        <f t="shared" ref="H288:H290" si="23">E288*F288</f>
        <v>0</v>
      </c>
      <c r="I288" s="15"/>
      <c r="J288" s="1"/>
      <c r="K288" s="1"/>
      <c r="P288" s="1"/>
      <c r="Q288" s="1"/>
      <c r="R288" s="1"/>
      <c r="S288" s="1"/>
    </row>
    <row r="289" spans="1:19" x14ac:dyDescent="0.25">
      <c r="A289" s="10" t="s">
        <v>65</v>
      </c>
      <c r="B289" s="187" t="s">
        <v>13</v>
      </c>
      <c r="C289" s="64" t="s">
        <v>264</v>
      </c>
      <c r="D289" s="12" t="s">
        <v>14</v>
      </c>
      <c r="E289" s="12">
        <v>1</v>
      </c>
      <c r="F289" s="14">
        <v>0</v>
      </c>
      <c r="G289" s="94"/>
      <c r="H289" s="107">
        <f t="shared" si="23"/>
        <v>0</v>
      </c>
      <c r="I289" s="15"/>
      <c r="J289" s="1"/>
      <c r="K289" s="1"/>
      <c r="P289" s="1"/>
      <c r="Q289" s="1"/>
      <c r="R289" s="1"/>
      <c r="S289" s="1"/>
    </row>
    <row r="290" spans="1:19" x14ac:dyDescent="0.25">
      <c r="A290" s="10" t="s">
        <v>372</v>
      </c>
      <c r="B290" s="349" t="s">
        <v>13</v>
      </c>
      <c r="C290" s="64" t="s">
        <v>266</v>
      </c>
      <c r="D290" s="20" t="s">
        <v>14</v>
      </c>
      <c r="E290" s="20">
        <v>1</v>
      </c>
      <c r="F290" s="14">
        <v>0</v>
      </c>
      <c r="G290" s="94"/>
      <c r="H290" s="107">
        <f t="shared" si="23"/>
        <v>0</v>
      </c>
      <c r="I290" s="15"/>
      <c r="J290" s="1"/>
      <c r="K290" s="1">
        <f>1*E290</f>
        <v>1</v>
      </c>
      <c r="P290" s="1"/>
      <c r="Q290" s="1"/>
      <c r="R290" s="1"/>
      <c r="S290" s="1"/>
    </row>
    <row r="291" spans="1:19" ht="28.5" x14ac:dyDescent="0.25">
      <c r="A291" s="16" t="s">
        <v>32</v>
      </c>
      <c r="B291" s="201" t="s">
        <v>9</v>
      </c>
      <c r="C291" s="17" t="s">
        <v>200</v>
      </c>
      <c r="D291" s="19" t="s">
        <v>53</v>
      </c>
      <c r="E291" s="18">
        <v>10.5</v>
      </c>
      <c r="F291" s="27"/>
      <c r="G291" s="110">
        <v>0</v>
      </c>
      <c r="H291" s="95"/>
      <c r="I291" s="54">
        <f>E291*G291</f>
        <v>0</v>
      </c>
      <c r="J291" s="1"/>
      <c r="K291" s="1"/>
      <c r="P291" s="1"/>
      <c r="Q291" s="1"/>
      <c r="R291" s="1"/>
      <c r="S291" s="1"/>
    </row>
    <row r="292" spans="1:19" x14ac:dyDescent="0.25">
      <c r="A292" s="10" t="s">
        <v>33</v>
      </c>
      <c r="B292" s="349" t="s">
        <v>13</v>
      </c>
      <c r="C292" s="167" t="s">
        <v>198</v>
      </c>
      <c r="D292" s="84" t="s">
        <v>53</v>
      </c>
      <c r="E292" s="12">
        <f>1.1*E291</f>
        <v>11.55</v>
      </c>
      <c r="F292" s="29">
        <v>0</v>
      </c>
      <c r="G292" s="94"/>
      <c r="H292" s="107">
        <f>E292*F292</f>
        <v>0</v>
      </c>
      <c r="I292" s="15"/>
      <c r="J292" s="1"/>
      <c r="K292" s="1"/>
      <c r="P292" s="1"/>
      <c r="Q292" s="1"/>
      <c r="R292" s="1"/>
      <c r="S292" s="1"/>
    </row>
    <row r="293" spans="1:19" x14ac:dyDescent="0.25">
      <c r="A293" s="10" t="s">
        <v>34</v>
      </c>
      <c r="B293" s="349" t="s">
        <v>13</v>
      </c>
      <c r="C293" s="167" t="s">
        <v>259</v>
      </c>
      <c r="D293" s="84" t="s">
        <v>38</v>
      </c>
      <c r="E293" s="12">
        <f>0.7*E291</f>
        <v>7.35</v>
      </c>
      <c r="F293" s="29">
        <v>0</v>
      </c>
      <c r="G293" s="94"/>
      <c r="H293" s="107">
        <f>E293*F293</f>
        <v>0</v>
      </c>
      <c r="I293" s="15"/>
      <c r="J293" s="1"/>
      <c r="K293" s="1"/>
      <c r="P293" s="1"/>
      <c r="Q293" s="1"/>
      <c r="R293" s="1"/>
      <c r="S293" s="1"/>
    </row>
    <row r="294" spans="1:19" ht="28.5" x14ac:dyDescent="0.25">
      <c r="A294" s="16" t="s">
        <v>36</v>
      </c>
      <c r="B294" s="192" t="s">
        <v>9</v>
      </c>
      <c r="C294" s="17" t="s">
        <v>254</v>
      </c>
      <c r="D294" s="18" t="s">
        <v>14</v>
      </c>
      <c r="E294" s="18">
        <v>2</v>
      </c>
      <c r="F294" s="13"/>
      <c r="G294" s="110">
        <v>0</v>
      </c>
      <c r="H294" s="95"/>
      <c r="I294" s="54">
        <f>E294*G294</f>
        <v>0</v>
      </c>
      <c r="J294" s="1"/>
      <c r="K294" s="1"/>
      <c r="P294" s="1"/>
      <c r="Q294" s="1"/>
      <c r="R294" s="1"/>
      <c r="S294" s="1"/>
    </row>
    <row r="295" spans="1:19" ht="30" x14ac:dyDescent="0.25">
      <c r="A295" s="10" t="s">
        <v>37</v>
      </c>
      <c r="B295" s="349" t="s">
        <v>13</v>
      </c>
      <c r="C295" s="11" t="s">
        <v>267</v>
      </c>
      <c r="D295" s="12" t="s">
        <v>14</v>
      </c>
      <c r="E295" s="12">
        <v>1</v>
      </c>
      <c r="F295" s="14">
        <v>0</v>
      </c>
      <c r="G295" s="94"/>
      <c r="H295" s="107">
        <f>E295*F295</f>
        <v>0</v>
      </c>
      <c r="I295" s="15"/>
      <c r="J295" s="1"/>
      <c r="K295" s="1"/>
      <c r="P295" s="1"/>
      <c r="Q295" s="1"/>
      <c r="R295" s="1"/>
      <c r="S295" s="1"/>
    </row>
    <row r="296" spans="1:19" ht="30.75" thickBot="1" x14ac:dyDescent="0.3">
      <c r="A296" s="345" t="s">
        <v>224</v>
      </c>
      <c r="B296" s="367" t="s">
        <v>13</v>
      </c>
      <c r="C296" s="330" t="s">
        <v>268</v>
      </c>
      <c r="D296" s="342" t="s">
        <v>14</v>
      </c>
      <c r="E296" s="342">
        <v>1</v>
      </c>
      <c r="F296" s="347">
        <v>0</v>
      </c>
      <c r="G296" s="343"/>
      <c r="H296" s="344">
        <f>E296*F296</f>
        <v>0</v>
      </c>
      <c r="I296" s="334"/>
      <c r="J296" s="1"/>
      <c r="K296" s="1"/>
      <c r="P296" s="1"/>
      <c r="Q296" s="1"/>
      <c r="R296" s="1"/>
      <c r="S296" s="1"/>
    </row>
    <row r="297" spans="1:19" ht="15.75" thickBot="1" x14ac:dyDescent="0.3">
      <c r="A297" s="43"/>
      <c r="B297" s="202"/>
      <c r="C297" s="238" t="s">
        <v>407</v>
      </c>
      <c r="D297" s="46"/>
      <c r="E297" s="47"/>
      <c r="F297" s="119"/>
      <c r="G297" s="100"/>
      <c r="H297" s="113">
        <f>SUM(H280:H296)</f>
        <v>0</v>
      </c>
      <c r="I297" s="81">
        <f>SUM(I280:I296)</f>
        <v>0</v>
      </c>
      <c r="J297" s="1"/>
      <c r="K297" s="1"/>
      <c r="P297" s="1"/>
      <c r="Q297" s="1"/>
      <c r="R297" s="1"/>
      <c r="S297" s="1"/>
    </row>
    <row r="298" spans="1:19" ht="15.75" thickBot="1" x14ac:dyDescent="0.3">
      <c r="A298" s="43"/>
      <c r="B298" s="202"/>
      <c r="C298" s="45" t="s">
        <v>269</v>
      </c>
      <c r="D298" s="46"/>
      <c r="E298" s="47"/>
      <c r="F298" s="119"/>
      <c r="G298" s="100"/>
      <c r="H298" s="128"/>
      <c r="I298" s="50"/>
      <c r="J298" s="1"/>
      <c r="K298" s="1"/>
      <c r="P298" s="1"/>
      <c r="Q298" s="1"/>
      <c r="R298" s="1"/>
      <c r="S298" s="1"/>
    </row>
    <row r="299" spans="1:19" ht="47.25" x14ac:dyDescent="0.25">
      <c r="A299" s="4">
        <v>9</v>
      </c>
      <c r="B299" s="199" t="s">
        <v>9</v>
      </c>
      <c r="C299" s="5" t="s">
        <v>270</v>
      </c>
      <c r="D299" s="153" t="s">
        <v>11</v>
      </c>
      <c r="E299" s="4">
        <v>1</v>
      </c>
      <c r="F299" s="6"/>
      <c r="G299" s="154">
        <v>0</v>
      </c>
      <c r="H299" s="6"/>
      <c r="I299" s="40">
        <f>E299*G299</f>
        <v>0</v>
      </c>
      <c r="J299" s="1"/>
      <c r="K299" s="1"/>
      <c r="P299" s="1"/>
      <c r="Q299" s="1"/>
      <c r="R299" s="1"/>
      <c r="S299" s="1"/>
    </row>
    <row r="300" spans="1:19" ht="30" x14ac:dyDescent="0.25">
      <c r="A300" s="10" t="s">
        <v>40</v>
      </c>
      <c r="B300" s="187" t="s">
        <v>13</v>
      </c>
      <c r="C300" s="64" t="s">
        <v>271</v>
      </c>
      <c r="D300" s="12" t="s">
        <v>14</v>
      </c>
      <c r="E300" s="12">
        <v>1</v>
      </c>
      <c r="F300" s="14">
        <v>0</v>
      </c>
      <c r="G300" s="94"/>
      <c r="H300" s="107">
        <f>E300*F300</f>
        <v>0</v>
      </c>
      <c r="I300" s="15"/>
      <c r="J300" s="1"/>
      <c r="K300" s="1"/>
      <c r="P300" s="1"/>
      <c r="Q300" s="1"/>
      <c r="R300" s="1"/>
      <c r="S300" s="1"/>
    </row>
    <row r="301" spans="1:19" x14ac:dyDescent="0.25">
      <c r="A301" s="10" t="s">
        <v>41</v>
      </c>
      <c r="B301" s="187" t="s">
        <v>13</v>
      </c>
      <c r="C301" s="64" t="s">
        <v>272</v>
      </c>
      <c r="D301" s="12" t="s">
        <v>14</v>
      </c>
      <c r="E301" s="12">
        <v>1</v>
      </c>
      <c r="F301" s="14">
        <v>0</v>
      </c>
      <c r="G301" s="94"/>
      <c r="H301" s="107">
        <f>E301*F301</f>
        <v>0</v>
      </c>
      <c r="I301" s="15"/>
      <c r="J301" s="1"/>
      <c r="K301" s="1"/>
      <c r="P301" s="1"/>
      <c r="Q301" s="1"/>
      <c r="R301" s="1"/>
      <c r="S301" s="1"/>
    </row>
    <row r="302" spans="1:19" ht="28.5" x14ac:dyDescent="0.25">
      <c r="A302" s="16" t="s">
        <v>457</v>
      </c>
      <c r="B302" s="188" t="s">
        <v>9</v>
      </c>
      <c r="C302" s="264" t="s">
        <v>557</v>
      </c>
      <c r="D302" s="18" t="s">
        <v>454</v>
      </c>
      <c r="E302" s="18">
        <v>5</v>
      </c>
      <c r="F302" s="13"/>
      <c r="G302" s="110">
        <v>0</v>
      </c>
      <c r="H302" s="95"/>
      <c r="I302" s="54">
        <f>E302*G302</f>
        <v>0</v>
      </c>
      <c r="J302" s="1"/>
      <c r="K302" s="1"/>
      <c r="P302" s="1"/>
      <c r="Q302" s="1"/>
      <c r="R302" s="1"/>
      <c r="S302" s="1"/>
    </row>
    <row r="303" spans="1:19" ht="28.5" x14ac:dyDescent="0.25">
      <c r="A303" s="16" t="s">
        <v>233</v>
      </c>
      <c r="B303" s="190" t="s">
        <v>9</v>
      </c>
      <c r="C303" s="264" t="s">
        <v>273</v>
      </c>
      <c r="D303" s="18" t="s">
        <v>14</v>
      </c>
      <c r="E303" s="18">
        <v>1</v>
      </c>
      <c r="F303" s="13"/>
      <c r="G303" s="110">
        <v>0</v>
      </c>
      <c r="H303" s="95"/>
      <c r="I303" s="54">
        <f>E303*G303</f>
        <v>0</v>
      </c>
      <c r="J303" s="1"/>
      <c r="K303" s="1"/>
      <c r="P303" s="1"/>
      <c r="Q303" s="1"/>
      <c r="R303" s="1"/>
      <c r="S303" s="1"/>
    </row>
    <row r="304" spans="1:19" x14ac:dyDescent="0.25">
      <c r="A304" s="10" t="s">
        <v>42</v>
      </c>
      <c r="B304" s="187" t="s">
        <v>13</v>
      </c>
      <c r="C304" s="64" t="s">
        <v>274</v>
      </c>
      <c r="D304" s="12" t="s">
        <v>14</v>
      </c>
      <c r="E304" s="12">
        <v>1</v>
      </c>
      <c r="F304" s="14">
        <v>0</v>
      </c>
      <c r="G304" s="94"/>
      <c r="H304" s="107">
        <f>E304*F304</f>
        <v>0</v>
      </c>
      <c r="I304" s="15"/>
      <c r="J304" s="1"/>
      <c r="K304" s="1"/>
      <c r="P304" s="1"/>
      <c r="Q304" s="1"/>
      <c r="R304" s="1"/>
      <c r="S304" s="1"/>
    </row>
    <row r="305" spans="1:19" ht="28.5" x14ac:dyDescent="0.25">
      <c r="A305" s="25" t="s">
        <v>68</v>
      </c>
      <c r="B305" s="188" t="s">
        <v>9</v>
      </c>
      <c r="C305" s="264" t="s">
        <v>51</v>
      </c>
      <c r="D305" s="18" t="s">
        <v>14</v>
      </c>
      <c r="E305" s="18">
        <v>17</v>
      </c>
      <c r="F305" s="13"/>
      <c r="G305" s="110">
        <v>0</v>
      </c>
      <c r="H305" s="95"/>
      <c r="I305" s="54">
        <f>E305*G305</f>
        <v>0</v>
      </c>
      <c r="J305" s="1"/>
      <c r="K305" s="1"/>
      <c r="P305" s="1"/>
      <c r="Q305" s="1"/>
      <c r="R305" s="1"/>
      <c r="S305" s="1"/>
    </row>
    <row r="306" spans="1:19" ht="30" x14ac:dyDescent="0.25">
      <c r="A306" s="10" t="s">
        <v>69</v>
      </c>
      <c r="B306" s="187" t="s">
        <v>13</v>
      </c>
      <c r="C306" s="64" t="s">
        <v>275</v>
      </c>
      <c r="D306" s="12" t="s">
        <v>14</v>
      </c>
      <c r="E306" s="12">
        <v>17</v>
      </c>
      <c r="F306" s="14">
        <v>0</v>
      </c>
      <c r="G306" s="94"/>
      <c r="H306" s="107">
        <f>E306*F306</f>
        <v>0</v>
      </c>
      <c r="I306" s="15"/>
      <c r="J306" s="1"/>
      <c r="K306" s="1"/>
      <c r="P306" s="1"/>
      <c r="Q306" s="1"/>
      <c r="R306" s="1"/>
      <c r="S306" s="1"/>
    </row>
    <row r="307" spans="1:19" ht="42.75" x14ac:dyDescent="0.25">
      <c r="A307" s="16" t="s">
        <v>239</v>
      </c>
      <c r="B307" s="190" t="s">
        <v>9</v>
      </c>
      <c r="C307" s="17" t="s">
        <v>163</v>
      </c>
      <c r="D307" s="18" t="s">
        <v>53</v>
      </c>
      <c r="E307" s="18">
        <v>13.9</v>
      </c>
      <c r="F307" s="13"/>
      <c r="G307" s="110">
        <v>0</v>
      </c>
      <c r="H307" s="95"/>
      <c r="I307" s="54">
        <f>E307*G307</f>
        <v>0</v>
      </c>
      <c r="J307" s="1"/>
      <c r="K307" s="1">
        <f>K309+K310</f>
        <v>13.9</v>
      </c>
      <c r="P307" s="1"/>
      <c r="Q307" s="1"/>
      <c r="R307" s="1"/>
      <c r="S307" s="1"/>
    </row>
    <row r="308" spans="1:19" x14ac:dyDescent="0.25">
      <c r="A308" s="10" t="s">
        <v>72</v>
      </c>
      <c r="B308" s="187" t="s">
        <v>13</v>
      </c>
      <c r="C308" s="11" t="s">
        <v>149</v>
      </c>
      <c r="D308" s="12" t="s">
        <v>38</v>
      </c>
      <c r="E308" s="72">
        <f>2.25*E307</f>
        <v>31.28</v>
      </c>
      <c r="F308" s="14">
        <v>0</v>
      </c>
      <c r="G308" s="94"/>
      <c r="H308" s="107">
        <f>E308*F308</f>
        <v>0</v>
      </c>
      <c r="I308" s="15"/>
      <c r="J308" s="1"/>
      <c r="K308" s="1"/>
      <c r="P308" s="1"/>
      <c r="Q308" s="1"/>
      <c r="R308" s="1"/>
      <c r="S308" s="1"/>
    </row>
    <row r="309" spans="1:19" x14ac:dyDescent="0.25">
      <c r="A309" s="28" t="s">
        <v>73</v>
      </c>
      <c r="B309" s="187" t="s">
        <v>13</v>
      </c>
      <c r="C309" s="11" t="s">
        <v>276</v>
      </c>
      <c r="D309" s="12" t="s">
        <v>57</v>
      </c>
      <c r="E309" s="12">
        <v>2.2000000000000002</v>
      </c>
      <c r="F309" s="14">
        <v>0</v>
      </c>
      <c r="G309" s="94"/>
      <c r="H309" s="107">
        <f>E309*F309</f>
        <v>0</v>
      </c>
      <c r="I309" s="15"/>
      <c r="J309" s="1"/>
      <c r="K309" s="1">
        <f>2.3*E309</f>
        <v>5.0599999999999996</v>
      </c>
      <c r="P309" s="1"/>
      <c r="Q309" s="1"/>
      <c r="R309" s="1"/>
      <c r="S309" s="1"/>
    </row>
    <row r="310" spans="1:19" x14ac:dyDescent="0.25">
      <c r="A310" s="10" t="s">
        <v>74</v>
      </c>
      <c r="B310" s="187" t="s">
        <v>13</v>
      </c>
      <c r="C310" s="11" t="s">
        <v>277</v>
      </c>
      <c r="D310" s="12" t="s">
        <v>14</v>
      </c>
      <c r="E310" s="12">
        <v>17</v>
      </c>
      <c r="F310" s="14">
        <v>0</v>
      </c>
      <c r="G310" s="94"/>
      <c r="H310" s="107">
        <f>E310*F310</f>
        <v>0</v>
      </c>
      <c r="I310" s="15"/>
      <c r="J310" s="1"/>
      <c r="K310" s="1">
        <f>0.52*E310</f>
        <v>8.84</v>
      </c>
      <c r="P310" s="1"/>
      <c r="Q310" s="1"/>
      <c r="R310" s="1"/>
      <c r="S310" s="1"/>
    </row>
    <row r="311" spans="1:19" ht="42.75" x14ac:dyDescent="0.25">
      <c r="A311" s="16" t="s">
        <v>75</v>
      </c>
      <c r="B311" s="190" t="s">
        <v>9</v>
      </c>
      <c r="C311" s="17" t="s">
        <v>278</v>
      </c>
      <c r="D311" s="18" t="s">
        <v>53</v>
      </c>
      <c r="E311" s="18">
        <v>140.55000000000001</v>
      </c>
      <c r="F311" s="13"/>
      <c r="G311" s="110">
        <v>0</v>
      </c>
      <c r="H311" s="95"/>
      <c r="I311" s="54">
        <f>E311*G311</f>
        <v>0</v>
      </c>
      <c r="J311" s="1"/>
      <c r="K311" s="1">
        <f>K313+K314+K315+K316+K317</f>
        <v>140.55000000000001</v>
      </c>
      <c r="P311" s="1"/>
      <c r="Q311" s="1"/>
      <c r="R311" s="1"/>
      <c r="S311" s="1"/>
    </row>
    <row r="312" spans="1:19" x14ac:dyDescent="0.25">
      <c r="A312" s="10" t="s">
        <v>76</v>
      </c>
      <c r="B312" s="187" t="s">
        <v>13</v>
      </c>
      <c r="C312" s="11" t="s">
        <v>149</v>
      </c>
      <c r="D312" s="12" t="s">
        <v>38</v>
      </c>
      <c r="E312" s="72">
        <f>2.25*E311</f>
        <v>316.24</v>
      </c>
      <c r="F312" s="14">
        <v>0</v>
      </c>
      <c r="G312" s="94"/>
      <c r="H312" s="107">
        <f t="shared" ref="H312:H316" si="24">E312*F312</f>
        <v>0</v>
      </c>
      <c r="I312" s="15"/>
      <c r="J312" s="1"/>
      <c r="K312" s="1"/>
      <c r="P312" s="1"/>
      <c r="Q312" s="1"/>
      <c r="R312" s="1"/>
      <c r="S312" s="1"/>
    </row>
    <row r="313" spans="1:19" x14ac:dyDescent="0.25">
      <c r="A313" s="10" t="s">
        <v>376</v>
      </c>
      <c r="B313" s="187" t="s">
        <v>13</v>
      </c>
      <c r="C313" s="11" t="s">
        <v>279</v>
      </c>
      <c r="D313" s="12" t="s">
        <v>57</v>
      </c>
      <c r="E313" s="12">
        <v>50.5</v>
      </c>
      <c r="F313" s="14">
        <v>0</v>
      </c>
      <c r="G313" s="94"/>
      <c r="H313" s="107">
        <f t="shared" si="24"/>
        <v>0</v>
      </c>
      <c r="I313" s="15"/>
      <c r="J313" s="1"/>
      <c r="K313" s="1">
        <f>2.6*E313</f>
        <v>131.30000000000001</v>
      </c>
      <c r="P313" s="1"/>
      <c r="Q313" s="1"/>
      <c r="R313" s="1"/>
      <c r="S313" s="1"/>
    </row>
    <row r="314" spans="1:19" x14ac:dyDescent="0.25">
      <c r="A314" s="10" t="s">
        <v>377</v>
      </c>
      <c r="B314" s="187" t="s">
        <v>13</v>
      </c>
      <c r="C314" s="64" t="s">
        <v>280</v>
      </c>
      <c r="D314" s="12" t="s">
        <v>14</v>
      </c>
      <c r="E314" s="12">
        <v>1</v>
      </c>
      <c r="F314" s="14">
        <v>0</v>
      </c>
      <c r="G314" s="94"/>
      <c r="H314" s="107">
        <f t="shared" si="24"/>
        <v>0</v>
      </c>
      <c r="I314" s="15"/>
      <c r="J314" s="1"/>
      <c r="K314" s="1">
        <f>0.53*E314</f>
        <v>0.53</v>
      </c>
      <c r="P314" s="1"/>
      <c r="Q314" s="1"/>
      <c r="R314" s="1"/>
      <c r="S314" s="1"/>
    </row>
    <row r="315" spans="1:19" x14ac:dyDescent="0.25">
      <c r="A315" s="10" t="s">
        <v>378</v>
      </c>
      <c r="B315" s="187" t="s">
        <v>13</v>
      </c>
      <c r="C315" s="64" t="s">
        <v>281</v>
      </c>
      <c r="D315" s="12" t="s">
        <v>14</v>
      </c>
      <c r="E315" s="12">
        <v>3</v>
      </c>
      <c r="F315" s="14">
        <v>0</v>
      </c>
      <c r="G315" s="94"/>
      <c r="H315" s="107">
        <f t="shared" si="24"/>
        <v>0</v>
      </c>
      <c r="I315" s="15"/>
      <c r="J315" s="1"/>
      <c r="K315" s="1">
        <f>1.79*E315</f>
        <v>5.37</v>
      </c>
      <c r="P315" s="1"/>
      <c r="Q315" s="1"/>
      <c r="R315" s="1"/>
      <c r="S315" s="1"/>
    </row>
    <row r="316" spans="1:19" x14ac:dyDescent="0.25">
      <c r="A316" s="10" t="s">
        <v>379</v>
      </c>
      <c r="B316" s="187" t="s">
        <v>13</v>
      </c>
      <c r="C316" s="11" t="s">
        <v>282</v>
      </c>
      <c r="D316" s="12" t="s">
        <v>14</v>
      </c>
      <c r="E316" s="12">
        <v>1</v>
      </c>
      <c r="F316" s="14">
        <v>0</v>
      </c>
      <c r="G316" s="94"/>
      <c r="H316" s="107">
        <f t="shared" si="24"/>
        <v>0</v>
      </c>
      <c r="I316" s="15"/>
      <c r="J316" s="1"/>
      <c r="K316" s="1">
        <f>2.4*E316</f>
        <v>2.4</v>
      </c>
      <c r="P316" s="1"/>
      <c r="Q316" s="1"/>
      <c r="R316" s="1"/>
      <c r="S316" s="1"/>
    </row>
    <row r="317" spans="1:19" ht="30" x14ac:dyDescent="0.25">
      <c r="A317" s="10" t="s">
        <v>414</v>
      </c>
      <c r="B317" s="187" t="s">
        <v>13</v>
      </c>
      <c r="C317" s="64" t="s">
        <v>283</v>
      </c>
      <c r="D317" s="12" t="s">
        <v>14</v>
      </c>
      <c r="E317" s="12">
        <v>1</v>
      </c>
      <c r="F317" s="14"/>
      <c r="G317" s="94"/>
      <c r="H317" s="107"/>
      <c r="I317" s="15"/>
      <c r="J317" s="1"/>
      <c r="K317" s="1">
        <f>0.95*E317</f>
        <v>0.95</v>
      </c>
      <c r="P317" s="1"/>
      <c r="Q317" s="1"/>
      <c r="R317" s="1"/>
      <c r="S317" s="1"/>
    </row>
    <row r="318" spans="1:19" ht="44.25" customHeight="1" x14ac:dyDescent="0.25">
      <c r="A318" s="18">
        <v>14</v>
      </c>
      <c r="B318" s="190" t="s">
        <v>9</v>
      </c>
      <c r="C318" s="264" t="s">
        <v>284</v>
      </c>
      <c r="D318" s="18" t="s">
        <v>53</v>
      </c>
      <c r="E318" s="18">
        <f>1.41+2*1+1*0.22</f>
        <v>3.63</v>
      </c>
      <c r="F318" s="13"/>
      <c r="G318" s="110">
        <v>0</v>
      </c>
      <c r="H318" s="95"/>
      <c r="I318" s="54">
        <f>E318*G318</f>
        <v>0</v>
      </c>
      <c r="J318" s="1"/>
      <c r="K318" s="1"/>
      <c r="P318" s="1"/>
      <c r="Q318" s="1"/>
      <c r="R318" s="1"/>
      <c r="S318" s="1"/>
    </row>
    <row r="319" spans="1:19" x14ac:dyDescent="0.25">
      <c r="A319" s="10" t="s">
        <v>78</v>
      </c>
      <c r="B319" s="187" t="s">
        <v>13</v>
      </c>
      <c r="C319" s="11" t="s">
        <v>149</v>
      </c>
      <c r="D319" s="12" t="s">
        <v>38</v>
      </c>
      <c r="E319" s="72">
        <f>1.22*E318</f>
        <v>4.43</v>
      </c>
      <c r="F319" s="14">
        <v>0</v>
      </c>
      <c r="G319" s="94"/>
      <c r="H319" s="107">
        <f>E319*F319</f>
        <v>0</v>
      </c>
      <c r="I319" s="15"/>
      <c r="J319" s="1"/>
      <c r="K319" s="1"/>
      <c r="P319" s="1"/>
      <c r="Q319" s="1"/>
      <c r="R319" s="1"/>
      <c r="S319" s="1"/>
    </row>
    <row r="320" spans="1:19" ht="24" customHeight="1" x14ac:dyDescent="0.25">
      <c r="A320" s="10" t="s">
        <v>380</v>
      </c>
      <c r="B320" s="187" t="s">
        <v>13</v>
      </c>
      <c r="C320" s="368" t="s">
        <v>285</v>
      </c>
      <c r="D320" s="12" t="s">
        <v>57</v>
      </c>
      <c r="E320" s="12">
        <v>0.8</v>
      </c>
      <c r="F320" s="14">
        <v>0</v>
      </c>
      <c r="G320" s="94"/>
      <c r="H320" s="107">
        <f t="shared" ref="H320:H323" si="25">E320*F320</f>
        <v>0</v>
      </c>
      <c r="I320" s="15"/>
      <c r="J320" s="1"/>
      <c r="K320" s="1"/>
      <c r="P320" s="1"/>
      <c r="Q320" s="1"/>
      <c r="R320" s="1"/>
      <c r="S320" s="1"/>
    </row>
    <row r="321" spans="1:19" x14ac:dyDescent="0.25">
      <c r="A321" s="10" t="s">
        <v>381</v>
      </c>
      <c r="B321" s="187" t="s">
        <v>13</v>
      </c>
      <c r="C321" s="64" t="s">
        <v>286</v>
      </c>
      <c r="D321" s="12" t="s">
        <v>14</v>
      </c>
      <c r="E321" s="12">
        <v>2</v>
      </c>
      <c r="F321" s="14">
        <v>0</v>
      </c>
      <c r="G321" s="94"/>
      <c r="H321" s="107">
        <f t="shared" si="25"/>
        <v>0</v>
      </c>
      <c r="I321" s="15"/>
      <c r="J321" s="1"/>
      <c r="K321" s="1"/>
      <c r="P321" s="1"/>
      <c r="Q321" s="1"/>
      <c r="R321" s="1"/>
      <c r="S321" s="1"/>
    </row>
    <row r="322" spans="1:19" x14ac:dyDescent="0.25">
      <c r="A322" s="10" t="s">
        <v>382</v>
      </c>
      <c r="B322" s="187" t="s">
        <v>13</v>
      </c>
      <c r="C322" s="64" t="s">
        <v>287</v>
      </c>
      <c r="D322" s="20" t="s">
        <v>14</v>
      </c>
      <c r="E322" s="20">
        <v>1</v>
      </c>
      <c r="F322" s="14">
        <v>0</v>
      </c>
      <c r="G322" s="94"/>
      <c r="H322" s="107">
        <f t="shared" si="25"/>
        <v>0</v>
      </c>
      <c r="I322" s="15"/>
      <c r="J322" s="1"/>
      <c r="K322" s="1"/>
      <c r="P322" s="1"/>
      <c r="Q322" s="1"/>
      <c r="R322" s="1"/>
      <c r="S322" s="1"/>
    </row>
    <row r="323" spans="1:19" x14ac:dyDescent="0.25">
      <c r="A323" s="10" t="s">
        <v>383</v>
      </c>
      <c r="B323" s="349" t="s">
        <v>13</v>
      </c>
      <c r="C323" s="64" t="s">
        <v>288</v>
      </c>
      <c r="D323" s="20" t="s">
        <v>14</v>
      </c>
      <c r="E323" s="20">
        <v>1</v>
      </c>
      <c r="F323" s="14">
        <v>0</v>
      </c>
      <c r="G323" s="94"/>
      <c r="H323" s="107">
        <f t="shared" si="25"/>
        <v>0</v>
      </c>
      <c r="I323" s="15"/>
      <c r="J323" s="1"/>
      <c r="K323" s="1"/>
      <c r="P323" s="1"/>
      <c r="Q323" s="1"/>
      <c r="R323" s="1"/>
      <c r="S323" s="1"/>
    </row>
    <row r="324" spans="1:19" ht="28.5" x14ac:dyDescent="0.25">
      <c r="A324" s="16" t="s">
        <v>79</v>
      </c>
      <c r="B324" s="201" t="s">
        <v>9</v>
      </c>
      <c r="C324" s="17" t="s">
        <v>200</v>
      </c>
      <c r="D324" s="19" t="s">
        <v>53</v>
      </c>
      <c r="E324" s="18">
        <v>152.80000000000001</v>
      </c>
      <c r="F324" s="27"/>
      <c r="G324" s="110">
        <v>0</v>
      </c>
      <c r="H324" s="95"/>
      <c r="I324" s="54">
        <f>E324*G324</f>
        <v>0</v>
      </c>
      <c r="J324" s="1"/>
      <c r="K324" s="1"/>
      <c r="P324" s="1"/>
      <c r="Q324" s="1"/>
      <c r="R324" s="1"/>
      <c r="S324" s="1"/>
    </row>
    <row r="325" spans="1:19" x14ac:dyDescent="0.25">
      <c r="A325" s="10" t="s">
        <v>80</v>
      </c>
      <c r="B325" s="349" t="s">
        <v>13</v>
      </c>
      <c r="C325" s="167" t="s">
        <v>198</v>
      </c>
      <c r="D325" s="84" t="s">
        <v>53</v>
      </c>
      <c r="E325" s="12">
        <f>1.1*E324</f>
        <v>168.08</v>
      </c>
      <c r="F325" s="29">
        <v>0</v>
      </c>
      <c r="G325" s="94"/>
      <c r="H325" s="107">
        <f>E325*F325</f>
        <v>0</v>
      </c>
      <c r="I325" s="15"/>
      <c r="J325" s="1"/>
      <c r="K325" s="1"/>
      <c r="P325" s="1"/>
      <c r="Q325" s="1"/>
      <c r="R325" s="1"/>
      <c r="S325" s="1"/>
    </row>
    <row r="326" spans="1:19" ht="15.75" thickBot="1" x14ac:dyDescent="0.3">
      <c r="A326" s="345" t="s">
        <v>81</v>
      </c>
      <c r="B326" s="177" t="s">
        <v>13</v>
      </c>
      <c r="C326" s="341" t="s">
        <v>259</v>
      </c>
      <c r="D326" s="85" t="s">
        <v>38</v>
      </c>
      <c r="E326" s="342">
        <f>0.7*E324</f>
        <v>106.96</v>
      </c>
      <c r="F326" s="333">
        <v>0</v>
      </c>
      <c r="G326" s="343"/>
      <c r="H326" s="344">
        <f>E326*F326</f>
        <v>0</v>
      </c>
      <c r="I326" s="334"/>
      <c r="J326" s="1"/>
      <c r="K326" s="1"/>
      <c r="P326" s="1"/>
      <c r="Q326" s="1"/>
      <c r="R326" s="1"/>
      <c r="S326" s="1"/>
    </row>
    <row r="327" spans="1:19" ht="15.75" thickBot="1" x14ac:dyDescent="0.3">
      <c r="A327" s="43"/>
      <c r="B327" s="191"/>
      <c r="C327" s="238" t="s">
        <v>407</v>
      </c>
      <c r="D327" s="3"/>
      <c r="E327" s="80"/>
      <c r="F327" s="91"/>
      <c r="G327" s="123"/>
      <c r="H327" s="113">
        <f>SUM(H300:H326)</f>
        <v>0</v>
      </c>
      <c r="I327" s="81">
        <f>SUM(I299:I326)</f>
        <v>0</v>
      </c>
      <c r="J327" s="1"/>
      <c r="K327" s="1"/>
      <c r="P327" s="1"/>
      <c r="Q327" s="1"/>
      <c r="R327" s="1"/>
      <c r="S327" s="1"/>
    </row>
    <row r="328" spans="1:19" ht="15.75" thickBot="1" x14ac:dyDescent="0.3">
      <c r="A328" s="43"/>
      <c r="B328" s="191"/>
      <c r="C328" s="45" t="s">
        <v>289</v>
      </c>
      <c r="D328" s="46"/>
      <c r="E328" s="47"/>
      <c r="F328" s="119"/>
      <c r="G328" s="100"/>
      <c r="H328" s="128"/>
      <c r="I328" s="50"/>
      <c r="J328" s="1"/>
      <c r="K328" s="1"/>
      <c r="P328" s="1"/>
      <c r="Q328" s="1"/>
      <c r="R328" s="1"/>
      <c r="S328" s="1"/>
    </row>
    <row r="329" spans="1:19" ht="31.5" customHeight="1" x14ac:dyDescent="0.25">
      <c r="A329" s="61" t="s">
        <v>85</v>
      </c>
      <c r="B329" s="203" t="s">
        <v>9</v>
      </c>
      <c r="C329" s="5" t="s">
        <v>291</v>
      </c>
      <c r="D329" s="51" t="s">
        <v>14</v>
      </c>
      <c r="E329" s="4">
        <v>1</v>
      </c>
      <c r="F329" s="88"/>
      <c r="G329" s="154">
        <v>0</v>
      </c>
      <c r="H329" s="6"/>
      <c r="I329" s="40">
        <f>E329*G329</f>
        <v>0</v>
      </c>
      <c r="J329" s="1"/>
      <c r="K329" s="1"/>
      <c r="P329" s="1"/>
      <c r="Q329" s="1"/>
      <c r="R329" s="1"/>
      <c r="S329" s="1"/>
    </row>
    <row r="330" spans="1:19" x14ac:dyDescent="0.25">
      <c r="A330" s="106" t="s">
        <v>86</v>
      </c>
      <c r="B330" s="351" t="s">
        <v>13</v>
      </c>
      <c r="C330" s="328" t="s">
        <v>290</v>
      </c>
      <c r="D330" s="84" t="s">
        <v>14</v>
      </c>
      <c r="E330" s="338">
        <v>1</v>
      </c>
      <c r="F330" s="57">
        <v>0</v>
      </c>
      <c r="G330" s="93"/>
      <c r="H330" s="116">
        <f>E330*F330</f>
        <v>0</v>
      </c>
      <c r="I330" s="112"/>
      <c r="J330" s="1"/>
      <c r="K330" s="1"/>
      <c r="P330" s="1"/>
      <c r="Q330" s="1"/>
      <c r="R330" s="1"/>
      <c r="S330" s="1"/>
    </row>
    <row r="331" spans="1:19" x14ac:dyDescent="0.25">
      <c r="A331" s="16" t="s">
        <v>87</v>
      </c>
      <c r="B331" s="192" t="s">
        <v>9</v>
      </c>
      <c r="C331" s="21" t="s">
        <v>30</v>
      </c>
      <c r="D331" s="22" t="s">
        <v>14</v>
      </c>
      <c r="E331" s="22">
        <v>1</v>
      </c>
      <c r="F331" s="23"/>
      <c r="G331" s="111">
        <v>0</v>
      </c>
      <c r="H331" s="95"/>
      <c r="I331" s="24">
        <f>E331*G331</f>
        <v>0</v>
      </c>
      <c r="J331" s="1"/>
      <c r="K331" s="1"/>
      <c r="P331" s="1"/>
      <c r="Q331" s="1"/>
      <c r="R331" s="1"/>
      <c r="S331" s="1"/>
    </row>
    <row r="332" spans="1:19" ht="30" x14ac:dyDescent="0.25">
      <c r="A332" s="10" t="s">
        <v>88</v>
      </c>
      <c r="B332" s="354" t="s">
        <v>13</v>
      </c>
      <c r="C332" s="328" t="s">
        <v>356</v>
      </c>
      <c r="D332" s="355" t="s">
        <v>14</v>
      </c>
      <c r="E332" s="355">
        <v>1</v>
      </c>
      <c r="F332" s="356">
        <v>0</v>
      </c>
      <c r="G332" s="357"/>
      <c r="H332" s="358">
        <f>E332*F332</f>
        <v>0</v>
      </c>
      <c r="I332" s="15"/>
      <c r="J332" s="1"/>
      <c r="K332" s="1"/>
      <c r="P332" s="1"/>
      <c r="Q332" s="1"/>
      <c r="R332" s="1"/>
      <c r="S332" s="1"/>
    </row>
    <row r="333" spans="1:19" ht="28.5" x14ac:dyDescent="0.25">
      <c r="A333" s="16" t="s">
        <v>458</v>
      </c>
      <c r="B333" s="272" t="s">
        <v>9</v>
      </c>
      <c r="C333" s="68" t="s">
        <v>557</v>
      </c>
      <c r="D333" s="273" t="s">
        <v>454</v>
      </c>
      <c r="E333" s="273">
        <v>5</v>
      </c>
      <c r="F333" s="274"/>
      <c r="G333" s="369">
        <v>0</v>
      </c>
      <c r="H333" s="275"/>
      <c r="I333" s="54">
        <f>E333*G333</f>
        <v>0</v>
      </c>
      <c r="J333" s="1"/>
      <c r="K333" s="1"/>
      <c r="P333" s="1"/>
      <c r="Q333" s="1"/>
      <c r="R333" s="1"/>
      <c r="S333" s="1"/>
    </row>
    <row r="334" spans="1:19" ht="42.75" x14ac:dyDescent="0.25">
      <c r="A334" s="16" t="s">
        <v>91</v>
      </c>
      <c r="B334" s="190" t="s">
        <v>9</v>
      </c>
      <c r="C334" s="17" t="s">
        <v>278</v>
      </c>
      <c r="D334" s="18" t="s">
        <v>53</v>
      </c>
      <c r="E334" s="18">
        <v>145.97</v>
      </c>
      <c r="F334" s="13"/>
      <c r="G334" s="110">
        <v>0</v>
      </c>
      <c r="H334" s="95"/>
      <c r="I334" s="54">
        <f>E334*G334</f>
        <v>0</v>
      </c>
      <c r="J334" s="1"/>
      <c r="K334" s="1">
        <f>K336+K337+K338+K339+K340+K341</f>
        <v>145.97</v>
      </c>
      <c r="P334" s="1"/>
      <c r="Q334" s="1"/>
      <c r="R334" s="1"/>
      <c r="S334" s="1"/>
    </row>
    <row r="335" spans="1:19" x14ac:dyDescent="0.25">
      <c r="A335" s="10" t="s">
        <v>92</v>
      </c>
      <c r="B335" s="187" t="s">
        <v>13</v>
      </c>
      <c r="C335" s="11" t="s">
        <v>149</v>
      </c>
      <c r="D335" s="12" t="s">
        <v>38</v>
      </c>
      <c r="E335" s="72">
        <f>2.25*E334</f>
        <v>328.43</v>
      </c>
      <c r="F335" s="14">
        <v>0</v>
      </c>
      <c r="G335" s="94"/>
      <c r="H335" s="107">
        <f t="shared" ref="H335:H341" si="26">E335*F335</f>
        <v>0</v>
      </c>
      <c r="I335" s="15"/>
      <c r="J335" s="1"/>
      <c r="K335" s="1"/>
      <c r="P335" s="1"/>
      <c r="Q335" s="1"/>
      <c r="R335" s="1"/>
      <c r="S335" s="1"/>
    </row>
    <row r="336" spans="1:19" x14ac:dyDescent="0.25">
      <c r="A336" s="10" t="s">
        <v>93</v>
      </c>
      <c r="B336" s="187" t="s">
        <v>13</v>
      </c>
      <c r="C336" s="11" t="s">
        <v>292</v>
      </c>
      <c r="D336" s="12" t="s">
        <v>57</v>
      </c>
      <c r="E336" s="12">
        <v>0.8</v>
      </c>
      <c r="F336" s="14">
        <v>0</v>
      </c>
      <c r="G336" s="94"/>
      <c r="H336" s="107">
        <f t="shared" si="26"/>
        <v>0</v>
      </c>
      <c r="I336" s="15"/>
      <c r="J336" s="1"/>
      <c r="K336" s="1">
        <f>1.78</f>
        <v>1.78</v>
      </c>
      <c r="P336" s="1"/>
      <c r="Q336" s="1"/>
      <c r="R336" s="1"/>
      <c r="S336" s="1"/>
    </row>
    <row r="337" spans="1:19" x14ac:dyDescent="0.25">
      <c r="A337" s="10" t="s">
        <v>94</v>
      </c>
      <c r="B337" s="194" t="s">
        <v>13</v>
      </c>
      <c r="C337" s="359" t="s">
        <v>293</v>
      </c>
      <c r="D337" s="360" t="s">
        <v>14</v>
      </c>
      <c r="E337" s="361">
        <v>1</v>
      </c>
      <c r="F337" s="29">
        <v>0</v>
      </c>
      <c r="G337" s="94"/>
      <c r="H337" s="107">
        <f t="shared" si="26"/>
        <v>0</v>
      </c>
      <c r="I337" s="15"/>
      <c r="J337" s="1"/>
      <c r="K337" s="1">
        <f>1.06*E337</f>
        <v>1.06</v>
      </c>
      <c r="P337" s="1"/>
      <c r="Q337" s="1"/>
      <c r="R337" s="1"/>
      <c r="S337" s="1"/>
    </row>
    <row r="338" spans="1:19" x14ac:dyDescent="0.25">
      <c r="A338" s="10" t="s">
        <v>398</v>
      </c>
      <c r="B338" s="194" t="s">
        <v>13</v>
      </c>
      <c r="C338" s="359" t="s">
        <v>279</v>
      </c>
      <c r="D338" s="360" t="s">
        <v>57</v>
      </c>
      <c r="E338" s="370">
        <v>49.5</v>
      </c>
      <c r="F338" s="29">
        <v>0</v>
      </c>
      <c r="G338" s="94"/>
      <c r="H338" s="107">
        <f t="shared" si="26"/>
        <v>0</v>
      </c>
      <c r="I338" s="15"/>
      <c r="J338" s="1"/>
      <c r="K338" s="1">
        <f>2.6*E338</f>
        <v>128.69999999999999</v>
      </c>
      <c r="P338" s="1"/>
      <c r="Q338" s="1"/>
      <c r="R338" s="1"/>
      <c r="S338" s="1"/>
    </row>
    <row r="339" spans="1:19" x14ac:dyDescent="0.25">
      <c r="A339" s="10" t="s">
        <v>399</v>
      </c>
      <c r="B339" s="194" t="s">
        <v>13</v>
      </c>
      <c r="C339" s="359" t="s">
        <v>295</v>
      </c>
      <c r="D339" s="360" t="s">
        <v>14</v>
      </c>
      <c r="E339" s="361">
        <v>17</v>
      </c>
      <c r="F339" s="29">
        <v>0</v>
      </c>
      <c r="G339" s="94"/>
      <c r="H339" s="107">
        <f t="shared" si="26"/>
        <v>0</v>
      </c>
      <c r="I339" s="15"/>
      <c r="J339" s="1"/>
      <c r="K339" s="1">
        <f>0.55*E339</f>
        <v>9.35</v>
      </c>
      <c r="P339" s="1"/>
      <c r="Q339" s="1"/>
      <c r="R339" s="1"/>
      <c r="S339" s="1"/>
    </row>
    <row r="340" spans="1:19" x14ac:dyDescent="0.25">
      <c r="A340" s="10" t="s">
        <v>400</v>
      </c>
      <c r="B340" s="194" t="s">
        <v>13</v>
      </c>
      <c r="C340" s="359" t="s">
        <v>296</v>
      </c>
      <c r="D340" s="360" t="s">
        <v>14</v>
      </c>
      <c r="E340" s="361">
        <v>1</v>
      </c>
      <c r="F340" s="29">
        <v>0</v>
      </c>
      <c r="G340" s="94"/>
      <c r="H340" s="107">
        <f t="shared" si="26"/>
        <v>0</v>
      </c>
      <c r="I340" s="15"/>
      <c r="J340" s="1"/>
      <c r="K340" s="1">
        <f>0.53*E340</f>
        <v>0.53</v>
      </c>
      <c r="P340" s="1"/>
      <c r="Q340" s="1"/>
      <c r="R340" s="1"/>
      <c r="S340" s="1"/>
    </row>
    <row r="341" spans="1:19" ht="30" x14ac:dyDescent="0.25">
      <c r="A341" s="10" t="s">
        <v>401</v>
      </c>
      <c r="B341" s="194" t="s">
        <v>13</v>
      </c>
      <c r="C341" s="359" t="s">
        <v>297</v>
      </c>
      <c r="D341" s="360" t="s">
        <v>14</v>
      </c>
      <c r="E341" s="361">
        <v>5</v>
      </c>
      <c r="F341" s="29">
        <v>0</v>
      </c>
      <c r="G341" s="94"/>
      <c r="H341" s="107">
        <f t="shared" si="26"/>
        <v>0</v>
      </c>
      <c r="I341" s="15"/>
      <c r="J341" s="1"/>
      <c r="K341" s="1">
        <f>0.91*E341</f>
        <v>4.55</v>
      </c>
      <c r="P341" s="1"/>
      <c r="Q341" s="1"/>
      <c r="R341" s="1"/>
      <c r="S341" s="1"/>
    </row>
    <row r="342" spans="1:19" ht="42.75" x14ac:dyDescent="0.25">
      <c r="A342" s="18">
        <v>19</v>
      </c>
      <c r="B342" s="195" t="s">
        <v>9</v>
      </c>
      <c r="C342" s="17" t="s">
        <v>163</v>
      </c>
      <c r="D342" s="18" t="s">
        <v>53</v>
      </c>
      <c r="E342" s="18">
        <v>5.04</v>
      </c>
      <c r="F342" s="13"/>
      <c r="G342" s="110">
        <v>0</v>
      </c>
      <c r="H342" s="95"/>
      <c r="I342" s="54">
        <f>E342*G342</f>
        <v>0</v>
      </c>
      <c r="J342" s="1"/>
      <c r="K342" s="1"/>
      <c r="P342" s="1"/>
      <c r="Q342" s="1"/>
      <c r="R342" s="1"/>
      <c r="S342" s="1"/>
    </row>
    <row r="343" spans="1:19" x14ac:dyDescent="0.25">
      <c r="A343" s="28" t="s">
        <v>96</v>
      </c>
      <c r="B343" s="194" t="s">
        <v>13</v>
      </c>
      <c r="C343" s="11" t="s">
        <v>149</v>
      </c>
      <c r="D343" s="12" t="s">
        <v>38</v>
      </c>
      <c r="E343" s="72">
        <f>2.25*E342</f>
        <v>11.34</v>
      </c>
      <c r="F343" s="14">
        <v>0</v>
      </c>
      <c r="G343" s="94"/>
      <c r="H343" s="107">
        <f>E343*F343</f>
        <v>0</v>
      </c>
      <c r="I343" s="15"/>
      <c r="J343" s="1"/>
      <c r="K343" s="1"/>
      <c r="P343" s="1"/>
      <c r="Q343" s="1"/>
      <c r="R343" s="1"/>
      <c r="S343" s="1"/>
    </row>
    <row r="344" spans="1:19" x14ac:dyDescent="0.25">
      <c r="A344" s="10" t="s">
        <v>97</v>
      </c>
      <c r="B344" s="194" t="s">
        <v>13</v>
      </c>
      <c r="C344" s="11" t="s">
        <v>294</v>
      </c>
      <c r="D344" s="20" t="s">
        <v>57</v>
      </c>
      <c r="E344" s="12">
        <v>2.4</v>
      </c>
      <c r="F344" s="14">
        <v>0</v>
      </c>
      <c r="G344" s="94"/>
      <c r="H344" s="107">
        <f>E344*F344</f>
        <v>0</v>
      </c>
      <c r="I344" s="15"/>
      <c r="J344" s="1"/>
      <c r="K344" s="1">
        <f>2.4*E344</f>
        <v>5.76</v>
      </c>
      <c r="P344" s="1"/>
      <c r="Q344" s="1"/>
      <c r="R344" s="1"/>
      <c r="S344" s="1"/>
    </row>
    <row r="345" spans="1:19" ht="27" customHeight="1" x14ac:dyDescent="0.25">
      <c r="A345" s="18">
        <v>20</v>
      </c>
      <c r="B345" s="195" t="s">
        <v>9</v>
      </c>
      <c r="C345" s="17" t="s">
        <v>51</v>
      </c>
      <c r="D345" s="19" t="s">
        <v>14</v>
      </c>
      <c r="E345" s="18">
        <v>17</v>
      </c>
      <c r="F345" s="27"/>
      <c r="G345" s="110">
        <v>0</v>
      </c>
      <c r="H345" s="95"/>
      <c r="I345" s="54">
        <f>E345*G345</f>
        <v>0</v>
      </c>
      <c r="J345" s="1"/>
      <c r="K345" s="1"/>
      <c r="P345" s="1"/>
      <c r="Q345" s="1"/>
      <c r="R345" s="1"/>
      <c r="S345" s="1"/>
    </row>
    <row r="346" spans="1:19" ht="45" x14ac:dyDescent="0.25">
      <c r="A346" s="28" t="s">
        <v>99</v>
      </c>
      <c r="B346" s="194" t="s">
        <v>13</v>
      </c>
      <c r="C346" s="359" t="s">
        <v>443</v>
      </c>
      <c r="D346" s="360" t="s">
        <v>14</v>
      </c>
      <c r="E346" s="361">
        <v>17</v>
      </c>
      <c r="F346" s="29">
        <v>0</v>
      </c>
      <c r="G346" s="94"/>
      <c r="H346" s="107">
        <f>E346*F346</f>
        <v>0</v>
      </c>
      <c r="I346" s="15"/>
      <c r="J346" s="1"/>
      <c r="K346" s="1"/>
      <c r="P346" s="1"/>
      <c r="Q346" s="1"/>
      <c r="R346" s="1"/>
      <c r="S346" s="1"/>
    </row>
    <row r="347" spans="1:19" ht="28.5" x14ac:dyDescent="0.25">
      <c r="A347" s="155" t="s">
        <v>104</v>
      </c>
      <c r="B347" s="204" t="s">
        <v>9</v>
      </c>
      <c r="C347" s="17" t="s">
        <v>200</v>
      </c>
      <c r="D347" s="19" t="s">
        <v>53</v>
      </c>
      <c r="E347" s="18">
        <v>145</v>
      </c>
      <c r="F347" s="27"/>
      <c r="G347" s="110">
        <v>0</v>
      </c>
      <c r="H347" s="95"/>
      <c r="I347" s="54">
        <f>E347*G347</f>
        <v>0</v>
      </c>
      <c r="J347" s="1"/>
      <c r="K347" s="1"/>
      <c r="P347" s="1"/>
      <c r="Q347" s="1"/>
      <c r="R347" s="1"/>
      <c r="S347" s="1"/>
    </row>
    <row r="348" spans="1:19" x14ac:dyDescent="0.25">
      <c r="A348" s="28" t="s">
        <v>133</v>
      </c>
      <c r="B348" s="194" t="s">
        <v>13</v>
      </c>
      <c r="C348" s="167" t="s">
        <v>198</v>
      </c>
      <c r="D348" s="84" t="s">
        <v>53</v>
      </c>
      <c r="E348" s="12">
        <f>1.1*E347</f>
        <v>159.5</v>
      </c>
      <c r="F348" s="29">
        <v>0</v>
      </c>
      <c r="G348" s="94"/>
      <c r="H348" s="107">
        <f>E348*F348</f>
        <v>0</v>
      </c>
      <c r="I348" s="15"/>
      <c r="J348" s="1"/>
      <c r="K348" s="1"/>
      <c r="P348" s="1"/>
      <c r="Q348" s="1"/>
      <c r="R348" s="1"/>
      <c r="S348" s="1"/>
    </row>
    <row r="349" spans="1:19" ht="15.75" thickBot="1" x14ac:dyDescent="0.3">
      <c r="A349" s="28" t="s">
        <v>128</v>
      </c>
      <c r="B349" s="194" t="s">
        <v>13</v>
      </c>
      <c r="C349" s="341" t="s">
        <v>259</v>
      </c>
      <c r="D349" s="85" t="s">
        <v>38</v>
      </c>
      <c r="E349" s="342">
        <f>0.7*E347</f>
        <v>101.5</v>
      </c>
      <c r="F349" s="333">
        <v>0</v>
      </c>
      <c r="G349" s="343"/>
      <c r="H349" s="344">
        <f>E349*F349</f>
        <v>0</v>
      </c>
      <c r="I349" s="334"/>
      <c r="J349" s="1"/>
      <c r="K349" s="1"/>
      <c r="P349" s="1"/>
      <c r="Q349" s="1"/>
      <c r="R349" s="1"/>
      <c r="S349" s="1"/>
    </row>
    <row r="350" spans="1:19" ht="15.75" thickBot="1" x14ac:dyDescent="0.3">
      <c r="A350" s="78"/>
      <c r="B350" s="191"/>
      <c r="C350" s="238" t="s">
        <v>43</v>
      </c>
      <c r="D350" s="46"/>
      <c r="E350" s="47"/>
      <c r="F350" s="48"/>
      <c r="G350" s="49"/>
      <c r="H350" s="48">
        <f>SUM(H330:H349)</f>
        <v>0</v>
      </c>
      <c r="I350" s="81">
        <f>SUM(I329:I349)</f>
        <v>0</v>
      </c>
      <c r="J350" s="1"/>
      <c r="K350" s="1"/>
      <c r="P350" s="1"/>
      <c r="Q350" s="1"/>
      <c r="R350" s="1"/>
      <c r="S350" s="1"/>
    </row>
    <row r="351" spans="1:19" x14ac:dyDescent="0.25">
      <c r="A351" s="118"/>
      <c r="B351" s="231"/>
      <c r="C351" s="255" t="s">
        <v>412</v>
      </c>
      <c r="D351" s="85"/>
      <c r="E351" s="140"/>
      <c r="F351" s="256"/>
      <c r="G351" s="246"/>
      <c r="H351" s="256">
        <f>H278+H297+H327+H350</f>
        <v>0</v>
      </c>
      <c r="I351" s="252">
        <f>I278+I297+I327+I350</f>
        <v>0</v>
      </c>
      <c r="J351" s="1"/>
      <c r="K351" s="1"/>
      <c r="P351" s="1"/>
      <c r="Q351" s="1"/>
      <c r="R351" s="1"/>
      <c r="S351" s="1"/>
    </row>
    <row r="352" spans="1:19" ht="15.75" thickBot="1" x14ac:dyDescent="0.3">
      <c r="A352" s="30"/>
      <c r="B352" s="179"/>
      <c r="C352" s="41" t="s">
        <v>415</v>
      </c>
      <c r="D352" s="31"/>
      <c r="E352" s="32"/>
      <c r="F352" s="33"/>
      <c r="G352" s="34"/>
      <c r="H352" s="33"/>
      <c r="I352" s="77">
        <f>H351+I351</f>
        <v>0</v>
      </c>
      <c r="J352" s="1"/>
      <c r="K352" s="1"/>
      <c r="P352" s="1"/>
      <c r="Q352" s="1"/>
      <c r="R352" s="1"/>
      <c r="S352" s="1"/>
    </row>
    <row r="353" spans="1:19" ht="15.75" thickBot="1" x14ac:dyDescent="0.3">
      <c r="A353" s="78"/>
      <c r="B353" s="191"/>
      <c r="C353" s="224" t="s">
        <v>558</v>
      </c>
      <c r="D353" s="46"/>
      <c r="E353" s="47"/>
      <c r="F353" s="91"/>
      <c r="G353" s="100"/>
      <c r="H353" s="91"/>
      <c r="I353" s="81">
        <f>I191+I258+I352</f>
        <v>0</v>
      </c>
      <c r="J353" s="1"/>
      <c r="K353" s="1"/>
      <c r="P353" s="1"/>
      <c r="Q353" s="1"/>
      <c r="R353" s="1"/>
      <c r="S353" s="1"/>
    </row>
    <row r="354" spans="1:19" ht="16.5" thickBot="1" x14ac:dyDescent="0.3">
      <c r="A354" s="139"/>
      <c r="B354" s="206"/>
      <c r="C354" s="257" t="s">
        <v>298</v>
      </c>
      <c r="D354" s="140"/>
      <c r="E354" s="140"/>
      <c r="F354" s="141"/>
      <c r="G354" s="142"/>
      <c r="H354" s="143"/>
      <c r="I354" s="144"/>
      <c r="J354" s="1"/>
      <c r="K354" s="1"/>
      <c r="P354" s="1"/>
      <c r="Q354" s="1"/>
      <c r="R354" s="1"/>
      <c r="S354" s="1"/>
    </row>
    <row r="355" spans="1:19" ht="15.75" thickBot="1" x14ac:dyDescent="0.3">
      <c r="A355" s="126"/>
      <c r="B355" s="145" t="s">
        <v>417</v>
      </c>
      <c r="C355" s="138" t="s">
        <v>416</v>
      </c>
      <c r="D355" s="47"/>
      <c r="E355" s="47"/>
      <c r="F355" s="119"/>
      <c r="G355" s="100"/>
      <c r="H355" s="128"/>
      <c r="I355" s="50"/>
      <c r="J355" s="1"/>
      <c r="K355" s="1"/>
      <c r="P355" s="1"/>
      <c r="Q355" s="1"/>
      <c r="R355" s="1"/>
      <c r="S355" s="1"/>
    </row>
    <row r="356" spans="1:19" x14ac:dyDescent="0.25">
      <c r="A356" s="155" t="s">
        <v>45</v>
      </c>
      <c r="B356" s="178" t="s">
        <v>9</v>
      </c>
      <c r="C356" s="173" t="s">
        <v>201</v>
      </c>
      <c r="D356" s="52" t="s">
        <v>14</v>
      </c>
      <c r="E356" s="53">
        <v>442</v>
      </c>
      <c r="F356" s="132"/>
      <c r="G356" s="93">
        <v>0</v>
      </c>
      <c r="H356" s="127"/>
      <c r="I356" s="112">
        <f>E356*G356</f>
        <v>0</v>
      </c>
      <c r="J356" s="1"/>
      <c r="K356" s="1"/>
      <c r="P356" s="1"/>
      <c r="Q356" s="1"/>
      <c r="R356" s="1"/>
      <c r="S356" s="1"/>
    </row>
    <row r="357" spans="1:19" ht="15.75" thickBot="1" x14ac:dyDescent="0.3">
      <c r="A357" s="30" t="s">
        <v>12</v>
      </c>
      <c r="B357" s="179" t="s">
        <v>13</v>
      </c>
      <c r="C357" s="326" t="s">
        <v>202</v>
      </c>
      <c r="D357" s="55" t="s">
        <v>14</v>
      </c>
      <c r="E357" s="327">
        <v>442</v>
      </c>
      <c r="F357" s="56">
        <v>0</v>
      </c>
      <c r="G357" s="98"/>
      <c r="H357" s="104">
        <f>E357*F357</f>
        <v>0</v>
      </c>
      <c r="I357" s="42"/>
      <c r="J357" s="1"/>
      <c r="K357" s="1"/>
      <c r="P357" s="1"/>
      <c r="Q357" s="1"/>
      <c r="R357" s="1"/>
      <c r="S357" s="1"/>
    </row>
    <row r="358" spans="1:19" ht="15.75" thickBot="1" x14ac:dyDescent="0.3">
      <c r="A358" s="37"/>
      <c r="B358" s="208"/>
      <c r="C358" s="5" t="s">
        <v>43</v>
      </c>
      <c r="D358" s="73"/>
      <c r="E358" s="74"/>
      <c r="F358" s="75"/>
      <c r="G358" s="7"/>
      <c r="H358" s="8">
        <f>SUM(H356:H357)</f>
        <v>0</v>
      </c>
      <c r="I358" s="40">
        <f>SUM(I356:I357)</f>
        <v>0</v>
      </c>
      <c r="J358" s="1"/>
      <c r="K358" s="1"/>
      <c r="P358" s="1"/>
      <c r="Q358" s="1"/>
      <c r="R358" s="1"/>
      <c r="S358" s="1"/>
    </row>
    <row r="359" spans="1:19" ht="15.75" thickBot="1" x14ac:dyDescent="0.3">
      <c r="A359" s="124"/>
      <c r="B359" s="184"/>
      <c r="C359" s="156" t="s">
        <v>303</v>
      </c>
      <c r="D359" s="39"/>
      <c r="E359" s="39"/>
      <c r="F359" s="75"/>
      <c r="G359" s="97"/>
      <c r="H359" s="102"/>
      <c r="I359" s="9"/>
      <c r="J359" s="1"/>
      <c r="K359" s="1"/>
      <c r="P359" s="1"/>
      <c r="Q359" s="1"/>
      <c r="R359" s="1"/>
      <c r="S359" s="1"/>
    </row>
    <row r="360" spans="1:19" ht="42.75" x14ac:dyDescent="0.25">
      <c r="A360" s="61" t="s">
        <v>16</v>
      </c>
      <c r="B360" s="181" t="s">
        <v>9</v>
      </c>
      <c r="C360" s="158" t="s">
        <v>52</v>
      </c>
      <c r="D360" s="63" t="s">
        <v>53</v>
      </c>
      <c r="E360" s="63">
        <v>71.069999999999993</v>
      </c>
      <c r="F360" s="88"/>
      <c r="G360" s="40">
        <v>0</v>
      </c>
      <c r="H360" s="88"/>
      <c r="I360" s="40">
        <f>E360*G360</f>
        <v>0</v>
      </c>
      <c r="J360" s="1"/>
      <c r="K360" s="1">
        <f>K362+K363+K364+K365</f>
        <v>71.069999999999993</v>
      </c>
      <c r="P360" s="1"/>
      <c r="Q360" s="1"/>
      <c r="R360" s="1"/>
      <c r="S360" s="1"/>
    </row>
    <row r="361" spans="1:19" x14ac:dyDescent="0.25">
      <c r="A361" s="28" t="s">
        <v>17</v>
      </c>
      <c r="B361" s="182" t="s">
        <v>13</v>
      </c>
      <c r="C361" s="67" t="s">
        <v>54</v>
      </c>
      <c r="D361" s="65" t="s">
        <v>38</v>
      </c>
      <c r="E361" s="66">
        <f>0.606*E360</f>
        <v>43.07</v>
      </c>
      <c r="F361" s="29">
        <v>0</v>
      </c>
      <c r="G361" s="15"/>
      <c r="H361" s="29">
        <f>E361*F361</f>
        <v>0</v>
      </c>
      <c r="I361" s="15"/>
      <c r="J361" s="1"/>
      <c r="K361" s="1"/>
      <c r="P361" s="1"/>
      <c r="Q361" s="1"/>
      <c r="R361" s="1"/>
      <c r="S361" s="1"/>
    </row>
    <row r="362" spans="1:19" x14ac:dyDescent="0.25">
      <c r="A362" s="28" t="s">
        <v>18</v>
      </c>
      <c r="B362" s="182" t="s">
        <v>13</v>
      </c>
      <c r="C362" s="67" t="s">
        <v>55</v>
      </c>
      <c r="D362" s="65" t="s">
        <v>57</v>
      </c>
      <c r="E362" s="65">
        <v>132.30000000000001</v>
      </c>
      <c r="F362" s="29">
        <v>0</v>
      </c>
      <c r="G362" s="15"/>
      <c r="H362" s="29">
        <f>E362*F362</f>
        <v>0</v>
      </c>
      <c r="I362" s="15"/>
      <c r="J362" s="1"/>
      <c r="K362" s="1">
        <v>41.56</v>
      </c>
      <c r="P362" s="1"/>
      <c r="Q362" s="1"/>
      <c r="R362" s="1"/>
      <c r="S362" s="1"/>
    </row>
    <row r="363" spans="1:19" ht="30" x14ac:dyDescent="0.25">
      <c r="A363" s="28" t="s">
        <v>46</v>
      </c>
      <c r="B363" s="182" t="s">
        <v>13</v>
      </c>
      <c r="C363" s="371" t="s">
        <v>156</v>
      </c>
      <c r="D363" s="65" t="s">
        <v>14</v>
      </c>
      <c r="E363" s="65">
        <v>79</v>
      </c>
      <c r="F363" s="29">
        <v>0</v>
      </c>
      <c r="G363" s="15"/>
      <c r="H363" s="29">
        <f t="shared" ref="H363:H364" si="27">E363*F363</f>
        <v>0</v>
      </c>
      <c r="I363" s="15"/>
      <c r="J363" s="1"/>
      <c r="K363" s="1">
        <f>0.09*E363</f>
        <v>7.11</v>
      </c>
      <c r="P363" s="1"/>
      <c r="Q363" s="1"/>
      <c r="R363" s="1"/>
      <c r="S363" s="1"/>
    </row>
    <row r="364" spans="1:19" ht="30" x14ac:dyDescent="0.25">
      <c r="A364" s="28" t="s">
        <v>48</v>
      </c>
      <c r="B364" s="182" t="s">
        <v>13</v>
      </c>
      <c r="C364" s="371" t="s">
        <v>157</v>
      </c>
      <c r="D364" s="65" t="s">
        <v>14</v>
      </c>
      <c r="E364" s="65">
        <v>64</v>
      </c>
      <c r="F364" s="29">
        <v>0</v>
      </c>
      <c r="G364" s="15"/>
      <c r="H364" s="29">
        <f t="shared" si="27"/>
        <v>0</v>
      </c>
      <c r="I364" s="15"/>
      <c r="J364" s="1"/>
      <c r="K364" s="1">
        <f>0.1*E364</f>
        <v>6.4</v>
      </c>
      <c r="P364" s="1"/>
      <c r="Q364" s="1"/>
      <c r="R364" s="1"/>
      <c r="S364" s="1"/>
    </row>
    <row r="365" spans="1:19" x14ac:dyDescent="0.25">
      <c r="A365" s="28" t="s">
        <v>49</v>
      </c>
      <c r="B365" s="182" t="s">
        <v>13</v>
      </c>
      <c r="C365" s="371" t="s">
        <v>444</v>
      </c>
      <c r="D365" s="65" t="s">
        <v>14</v>
      </c>
      <c r="E365" s="65">
        <v>160</v>
      </c>
      <c r="F365" s="29">
        <v>0</v>
      </c>
      <c r="G365" s="15"/>
      <c r="H365" s="29">
        <f>E365*F365</f>
        <v>0</v>
      </c>
      <c r="I365" s="15"/>
      <c r="J365" s="1"/>
      <c r="K365" s="1">
        <f>0.1*E365</f>
        <v>16</v>
      </c>
      <c r="P365" s="1"/>
      <c r="Q365" s="1"/>
      <c r="R365" s="1"/>
      <c r="S365" s="1"/>
    </row>
    <row r="366" spans="1:19" ht="42.75" x14ac:dyDescent="0.25">
      <c r="A366" s="25" t="s">
        <v>19</v>
      </c>
      <c r="B366" s="201" t="s">
        <v>9</v>
      </c>
      <c r="C366" s="159" t="s">
        <v>136</v>
      </c>
      <c r="D366" s="69" t="s">
        <v>53</v>
      </c>
      <c r="E366" s="69">
        <v>99.91</v>
      </c>
      <c r="F366" s="27"/>
      <c r="G366" s="54">
        <v>0</v>
      </c>
      <c r="H366" s="27"/>
      <c r="I366" s="54">
        <f>E366*G366</f>
        <v>0</v>
      </c>
      <c r="J366" s="1"/>
      <c r="K366" s="1">
        <f>K368+K369+K370+K371</f>
        <v>99.91</v>
      </c>
      <c r="P366" s="1"/>
      <c r="Q366" s="1"/>
      <c r="R366" s="1"/>
      <c r="S366" s="1"/>
    </row>
    <row r="367" spans="1:19" x14ac:dyDescent="0.25">
      <c r="A367" s="28" t="s">
        <v>21</v>
      </c>
      <c r="B367" s="182" t="s">
        <v>13</v>
      </c>
      <c r="C367" s="67" t="s">
        <v>54</v>
      </c>
      <c r="D367" s="65" t="s">
        <v>38</v>
      </c>
      <c r="E367" s="66">
        <f>0.606*E366</f>
        <v>60.55</v>
      </c>
      <c r="F367" s="29">
        <v>0</v>
      </c>
      <c r="G367" s="15"/>
      <c r="H367" s="29">
        <f t="shared" ref="H367:H372" si="28">E367*F367</f>
        <v>0</v>
      </c>
      <c r="I367" s="15"/>
      <c r="J367" s="1"/>
      <c r="K367" s="1"/>
      <c r="P367" s="1"/>
      <c r="Q367" s="1"/>
      <c r="R367" s="1"/>
      <c r="S367" s="1"/>
    </row>
    <row r="368" spans="1:19" x14ac:dyDescent="0.25">
      <c r="A368" s="28" t="s">
        <v>22</v>
      </c>
      <c r="B368" s="182" t="s">
        <v>13</v>
      </c>
      <c r="C368" s="67" t="s">
        <v>138</v>
      </c>
      <c r="D368" s="65" t="s">
        <v>57</v>
      </c>
      <c r="E368" s="65">
        <v>253.7</v>
      </c>
      <c r="F368" s="29">
        <v>0</v>
      </c>
      <c r="G368" s="15"/>
      <c r="H368" s="29">
        <f t="shared" si="28"/>
        <v>0</v>
      </c>
      <c r="I368" s="15"/>
      <c r="J368" s="1"/>
      <c r="K368" s="1">
        <v>79.7</v>
      </c>
      <c r="P368" s="1"/>
      <c r="Q368" s="1"/>
      <c r="R368" s="1"/>
      <c r="S368" s="1"/>
    </row>
    <row r="369" spans="1:19" x14ac:dyDescent="0.25">
      <c r="A369" s="28" t="s">
        <v>58</v>
      </c>
      <c r="B369" s="182" t="s">
        <v>13</v>
      </c>
      <c r="C369" s="67" t="s">
        <v>141</v>
      </c>
      <c r="D369" s="65" t="s">
        <v>14</v>
      </c>
      <c r="E369" s="65">
        <v>143</v>
      </c>
      <c r="F369" s="29">
        <v>0</v>
      </c>
      <c r="G369" s="15"/>
      <c r="H369" s="29">
        <f t="shared" si="28"/>
        <v>0</v>
      </c>
      <c r="I369" s="15"/>
      <c r="J369" s="1"/>
      <c r="K369" s="1">
        <f>0.03*E369</f>
        <v>4.29</v>
      </c>
      <c r="P369" s="1"/>
      <c r="Q369" s="1"/>
      <c r="R369" s="1"/>
      <c r="S369" s="1"/>
    </row>
    <row r="370" spans="1:19" x14ac:dyDescent="0.25">
      <c r="A370" s="28" t="s">
        <v>359</v>
      </c>
      <c r="B370" s="182" t="s">
        <v>13</v>
      </c>
      <c r="C370" s="67" t="s">
        <v>445</v>
      </c>
      <c r="D370" s="65" t="s">
        <v>14</v>
      </c>
      <c r="E370" s="65">
        <v>158</v>
      </c>
      <c r="F370" s="29">
        <v>0</v>
      </c>
      <c r="G370" s="15"/>
      <c r="H370" s="29">
        <f t="shared" si="28"/>
        <v>0</v>
      </c>
      <c r="I370" s="15"/>
      <c r="J370" s="1"/>
      <c r="K370" s="1">
        <f>0.1*E370</f>
        <v>15.8</v>
      </c>
      <c r="P370" s="1"/>
      <c r="Q370" s="1"/>
      <c r="R370" s="1"/>
      <c r="S370" s="1"/>
    </row>
    <row r="371" spans="1:19" x14ac:dyDescent="0.25">
      <c r="A371" s="28" t="s">
        <v>360</v>
      </c>
      <c r="B371" s="182" t="s">
        <v>13</v>
      </c>
      <c r="C371" s="67" t="s">
        <v>567</v>
      </c>
      <c r="D371" s="65" t="s">
        <v>14</v>
      </c>
      <c r="E371" s="65">
        <v>2</v>
      </c>
      <c r="F371" s="29">
        <v>0</v>
      </c>
      <c r="G371" s="15"/>
      <c r="H371" s="29">
        <f t="shared" si="28"/>
        <v>0</v>
      </c>
      <c r="I371" s="15"/>
      <c r="J371" s="1"/>
      <c r="K371" s="1">
        <f>0.06*E371</f>
        <v>0.12</v>
      </c>
      <c r="P371" s="1"/>
      <c r="Q371" s="1"/>
      <c r="R371" s="1"/>
      <c r="S371" s="1"/>
    </row>
    <row r="372" spans="1:19" ht="30" x14ac:dyDescent="0.25">
      <c r="A372" s="28" t="s">
        <v>574</v>
      </c>
      <c r="B372" s="182" t="s">
        <v>13</v>
      </c>
      <c r="C372" s="71" t="s">
        <v>139</v>
      </c>
      <c r="D372" s="20" t="s">
        <v>14</v>
      </c>
      <c r="E372" s="20">
        <v>143</v>
      </c>
      <c r="F372" s="29">
        <v>0</v>
      </c>
      <c r="G372" s="15"/>
      <c r="H372" s="29">
        <f t="shared" si="28"/>
        <v>0</v>
      </c>
      <c r="I372" s="15"/>
      <c r="J372" s="1"/>
      <c r="K372" s="1"/>
      <c r="P372" s="1"/>
      <c r="Q372" s="1"/>
      <c r="R372" s="1"/>
      <c r="S372" s="1"/>
    </row>
    <row r="373" spans="1:19" ht="42.75" x14ac:dyDescent="0.25">
      <c r="A373" s="25" t="s">
        <v>23</v>
      </c>
      <c r="B373" s="209" t="s">
        <v>9</v>
      </c>
      <c r="C373" s="160" t="s">
        <v>140</v>
      </c>
      <c r="D373" s="19" t="s">
        <v>53</v>
      </c>
      <c r="E373" s="19">
        <v>71.98</v>
      </c>
      <c r="F373" s="27"/>
      <c r="G373" s="54">
        <v>0</v>
      </c>
      <c r="H373" s="27"/>
      <c r="I373" s="54">
        <f>E373*G373</f>
        <v>0</v>
      </c>
      <c r="J373" s="1"/>
      <c r="K373" s="1">
        <f>K375+K376+K377+K378+K379</f>
        <v>71.98</v>
      </c>
      <c r="P373" s="1"/>
      <c r="Q373" s="1"/>
      <c r="R373" s="1"/>
      <c r="S373" s="1"/>
    </row>
    <row r="374" spans="1:19" x14ac:dyDescent="0.25">
      <c r="A374" s="28" t="s">
        <v>24</v>
      </c>
      <c r="B374" s="182" t="s">
        <v>13</v>
      </c>
      <c r="C374" s="161" t="s">
        <v>149</v>
      </c>
      <c r="D374" s="20" t="s">
        <v>38</v>
      </c>
      <c r="E374" s="70">
        <f>0.712*E373</f>
        <v>51.25</v>
      </c>
      <c r="F374" s="29">
        <v>0</v>
      </c>
      <c r="G374" s="15"/>
      <c r="H374" s="29">
        <f t="shared" ref="H374:H379" si="29">E374*F374</f>
        <v>0</v>
      </c>
      <c r="I374" s="15"/>
      <c r="J374" s="1"/>
      <c r="K374" s="1"/>
      <c r="P374" s="1"/>
      <c r="Q374" s="1"/>
      <c r="R374" s="1"/>
      <c r="S374" s="1"/>
    </row>
    <row r="375" spans="1:19" x14ac:dyDescent="0.25">
      <c r="A375" s="28" t="s">
        <v>59</v>
      </c>
      <c r="B375" s="182" t="s">
        <v>13</v>
      </c>
      <c r="C375" s="161" t="s">
        <v>143</v>
      </c>
      <c r="D375" s="20" t="s">
        <v>57</v>
      </c>
      <c r="E375" s="20">
        <v>1.1000000000000001</v>
      </c>
      <c r="F375" s="29">
        <v>0</v>
      </c>
      <c r="G375" s="15"/>
      <c r="H375" s="29">
        <f t="shared" si="29"/>
        <v>0</v>
      </c>
      <c r="I375" s="15"/>
      <c r="J375" s="1"/>
      <c r="K375" s="1">
        <f>0.8*E375</f>
        <v>0.88</v>
      </c>
      <c r="P375" s="1"/>
      <c r="Q375" s="1"/>
      <c r="R375" s="1"/>
      <c r="S375" s="1"/>
    </row>
    <row r="376" spans="1:19" x14ac:dyDescent="0.25">
      <c r="A376" s="28" t="s">
        <v>127</v>
      </c>
      <c r="B376" s="182" t="s">
        <v>13</v>
      </c>
      <c r="C376" s="161" t="s">
        <v>144</v>
      </c>
      <c r="D376" s="20" t="s">
        <v>57</v>
      </c>
      <c r="E376" s="20">
        <v>87.5</v>
      </c>
      <c r="F376" s="29">
        <v>0</v>
      </c>
      <c r="G376" s="15"/>
      <c r="H376" s="29">
        <f t="shared" si="29"/>
        <v>0</v>
      </c>
      <c r="I376" s="15"/>
      <c r="J376" s="1"/>
      <c r="K376" s="1">
        <f>0.8*E376</f>
        <v>70</v>
      </c>
      <c r="P376" s="1"/>
      <c r="Q376" s="1"/>
      <c r="R376" s="1"/>
      <c r="S376" s="1"/>
    </row>
    <row r="377" spans="1:19" x14ac:dyDescent="0.25">
      <c r="A377" s="28" t="s">
        <v>361</v>
      </c>
      <c r="B377" s="182" t="s">
        <v>13</v>
      </c>
      <c r="C377" s="161" t="s">
        <v>145</v>
      </c>
      <c r="D377" s="20" t="s">
        <v>14</v>
      </c>
      <c r="E377" s="20">
        <v>2</v>
      </c>
      <c r="F377" s="29">
        <v>0</v>
      </c>
      <c r="G377" s="15"/>
      <c r="H377" s="29">
        <f t="shared" si="29"/>
        <v>0</v>
      </c>
      <c r="I377" s="15"/>
      <c r="J377" s="1"/>
      <c r="K377" s="1">
        <f>0.08*E377</f>
        <v>0.16</v>
      </c>
      <c r="P377" s="1"/>
      <c r="Q377" s="1"/>
      <c r="R377" s="1"/>
      <c r="S377" s="1"/>
    </row>
    <row r="378" spans="1:19" x14ac:dyDescent="0.25">
      <c r="A378" s="28" t="s">
        <v>362</v>
      </c>
      <c r="B378" s="182" t="s">
        <v>13</v>
      </c>
      <c r="C378" s="161" t="s">
        <v>155</v>
      </c>
      <c r="D378" s="20" t="s">
        <v>14</v>
      </c>
      <c r="E378" s="20">
        <v>2</v>
      </c>
      <c r="F378" s="29">
        <v>0</v>
      </c>
      <c r="G378" s="15"/>
      <c r="H378" s="29">
        <f t="shared" si="29"/>
        <v>0</v>
      </c>
      <c r="I378" s="15"/>
      <c r="J378" s="1"/>
      <c r="K378" s="1">
        <f>0.08*E378</f>
        <v>0.16</v>
      </c>
      <c r="P378" s="1"/>
      <c r="Q378" s="1"/>
      <c r="R378" s="1"/>
      <c r="S378" s="1"/>
    </row>
    <row r="379" spans="1:19" ht="30" x14ac:dyDescent="0.25">
      <c r="A379" s="28" t="s">
        <v>363</v>
      </c>
      <c r="B379" s="182" t="s">
        <v>13</v>
      </c>
      <c r="C379" s="161" t="s">
        <v>148</v>
      </c>
      <c r="D379" s="20" t="s">
        <v>14</v>
      </c>
      <c r="E379" s="20">
        <v>2</v>
      </c>
      <c r="F379" s="29">
        <v>0</v>
      </c>
      <c r="G379" s="15"/>
      <c r="H379" s="29">
        <f t="shared" si="29"/>
        <v>0</v>
      </c>
      <c r="I379" s="15"/>
      <c r="J379" s="1"/>
      <c r="K379" s="1">
        <f>0.39*E379</f>
        <v>0.78</v>
      </c>
      <c r="P379" s="1"/>
      <c r="Q379" s="1"/>
      <c r="R379" s="1"/>
      <c r="S379" s="1"/>
    </row>
    <row r="380" spans="1:19" ht="42.75" x14ac:dyDescent="0.25">
      <c r="A380" s="25" t="s">
        <v>50</v>
      </c>
      <c r="B380" s="201" t="s">
        <v>9</v>
      </c>
      <c r="C380" s="159" t="s">
        <v>150</v>
      </c>
      <c r="D380" s="19" t="s">
        <v>53</v>
      </c>
      <c r="E380" s="19">
        <v>191.16</v>
      </c>
      <c r="F380" s="27"/>
      <c r="G380" s="54">
        <v>0</v>
      </c>
      <c r="H380" s="27"/>
      <c r="I380" s="54">
        <f>E380*G380</f>
        <v>0</v>
      </c>
      <c r="J380" s="1"/>
      <c r="K380" s="1">
        <f>SUM(K382:K392)</f>
        <v>191.16</v>
      </c>
      <c r="P380" s="1"/>
      <c r="Q380" s="1"/>
      <c r="R380" s="1"/>
      <c r="S380" s="1"/>
    </row>
    <row r="381" spans="1:19" x14ac:dyDescent="0.25">
      <c r="A381" s="28" t="s">
        <v>26</v>
      </c>
      <c r="B381" s="182" t="s">
        <v>13</v>
      </c>
      <c r="C381" s="71" t="s">
        <v>54</v>
      </c>
      <c r="D381" s="20" t="s">
        <v>38</v>
      </c>
      <c r="E381" s="70">
        <f>1.22*E380</f>
        <v>233.22</v>
      </c>
      <c r="F381" s="29">
        <v>0</v>
      </c>
      <c r="G381" s="15"/>
      <c r="H381" s="29">
        <f t="shared" ref="H381:H392" si="30">E381*F381</f>
        <v>0</v>
      </c>
      <c r="I381" s="15"/>
      <c r="J381" s="1"/>
      <c r="K381" s="1"/>
      <c r="P381" s="1"/>
      <c r="Q381" s="1"/>
      <c r="R381" s="1"/>
      <c r="S381" s="1"/>
    </row>
    <row r="382" spans="1:19" x14ac:dyDescent="0.25">
      <c r="A382" s="28" t="s">
        <v>27</v>
      </c>
      <c r="B382" s="182" t="s">
        <v>13</v>
      </c>
      <c r="C382" s="71" t="s">
        <v>151</v>
      </c>
      <c r="D382" s="20" t="s">
        <v>57</v>
      </c>
      <c r="E382" s="20">
        <v>87.5</v>
      </c>
      <c r="F382" s="29">
        <v>0</v>
      </c>
      <c r="G382" s="15"/>
      <c r="H382" s="29">
        <f t="shared" si="30"/>
        <v>0</v>
      </c>
      <c r="I382" s="15"/>
      <c r="J382" s="1"/>
      <c r="K382" s="1">
        <f>1.3*E382</f>
        <v>113.75</v>
      </c>
      <c r="P382" s="1"/>
      <c r="Q382" s="1"/>
      <c r="R382" s="1"/>
      <c r="S382" s="1"/>
    </row>
    <row r="383" spans="1:19" x14ac:dyDescent="0.25">
      <c r="A383" s="28" t="s">
        <v>28</v>
      </c>
      <c r="B383" s="182" t="s">
        <v>13</v>
      </c>
      <c r="C383" s="71" t="s">
        <v>152</v>
      </c>
      <c r="D383" s="20" t="s">
        <v>57</v>
      </c>
      <c r="E383" s="20">
        <v>45.2</v>
      </c>
      <c r="F383" s="29">
        <v>0</v>
      </c>
      <c r="G383" s="15"/>
      <c r="H383" s="29">
        <f t="shared" si="30"/>
        <v>0</v>
      </c>
      <c r="I383" s="15"/>
      <c r="J383" s="1"/>
      <c r="K383" s="1">
        <f>1.5*E383</f>
        <v>67.8</v>
      </c>
      <c r="P383" s="1"/>
      <c r="Q383" s="1"/>
      <c r="R383" s="1"/>
      <c r="S383" s="1"/>
    </row>
    <row r="384" spans="1:19" x14ac:dyDescent="0.25">
      <c r="A384" s="28" t="s">
        <v>61</v>
      </c>
      <c r="B384" s="182" t="s">
        <v>13</v>
      </c>
      <c r="C384" s="71" t="s">
        <v>153</v>
      </c>
      <c r="D384" s="20" t="s">
        <v>57</v>
      </c>
      <c r="E384" s="20">
        <v>2.9</v>
      </c>
      <c r="F384" s="29">
        <v>0</v>
      </c>
      <c r="G384" s="15"/>
      <c r="H384" s="29">
        <f t="shared" si="30"/>
        <v>0</v>
      </c>
      <c r="I384" s="15"/>
      <c r="J384" s="1"/>
      <c r="K384" s="1">
        <f>1.3*E384</f>
        <v>3.77</v>
      </c>
      <c r="P384" s="1"/>
      <c r="Q384" s="1"/>
      <c r="R384" s="1"/>
      <c r="S384" s="1"/>
    </row>
    <row r="385" spans="1:19" x14ac:dyDescent="0.25">
      <c r="A385" s="28" t="s">
        <v>223</v>
      </c>
      <c r="B385" s="182" t="s">
        <v>13</v>
      </c>
      <c r="C385" s="71" t="s">
        <v>154</v>
      </c>
      <c r="D385" s="20" t="s">
        <v>57</v>
      </c>
      <c r="E385" s="20">
        <v>1</v>
      </c>
      <c r="F385" s="29">
        <v>0</v>
      </c>
      <c r="G385" s="15"/>
      <c r="H385" s="29">
        <f t="shared" si="30"/>
        <v>0</v>
      </c>
      <c r="I385" s="15"/>
      <c r="J385" s="1"/>
      <c r="K385" s="1">
        <f>1.5*E385</f>
        <v>1.5</v>
      </c>
      <c r="P385" s="1"/>
      <c r="Q385" s="1"/>
      <c r="R385" s="1"/>
      <c r="S385" s="1"/>
    </row>
    <row r="386" spans="1:19" x14ac:dyDescent="0.25">
      <c r="A386" s="28" t="s">
        <v>366</v>
      </c>
      <c r="B386" s="182" t="s">
        <v>13</v>
      </c>
      <c r="C386" s="71" t="s">
        <v>158</v>
      </c>
      <c r="D386" s="20" t="s">
        <v>14</v>
      </c>
      <c r="E386" s="20">
        <v>1</v>
      </c>
      <c r="F386" s="29">
        <v>0</v>
      </c>
      <c r="G386" s="15"/>
      <c r="H386" s="29">
        <f t="shared" si="30"/>
        <v>0</v>
      </c>
      <c r="I386" s="15"/>
      <c r="J386" s="1"/>
      <c r="K386" s="1">
        <f>0.46*E386</f>
        <v>0.46</v>
      </c>
      <c r="P386" s="1"/>
      <c r="Q386" s="1"/>
      <c r="R386" s="1"/>
      <c r="S386" s="1"/>
    </row>
    <row r="387" spans="1:19" x14ac:dyDescent="0.25">
      <c r="A387" s="28" t="s">
        <v>367</v>
      </c>
      <c r="B387" s="182" t="s">
        <v>13</v>
      </c>
      <c r="C387" s="71" t="s">
        <v>160</v>
      </c>
      <c r="D387" s="20" t="s">
        <v>14</v>
      </c>
      <c r="E387" s="20">
        <v>1</v>
      </c>
      <c r="F387" s="29">
        <v>0</v>
      </c>
      <c r="G387" s="15"/>
      <c r="H387" s="29">
        <f t="shared" si="30"/>
        <v>0</v>
      </c>
      <c r="I387" s="15"/>
      <c r="J387" s="1"/>
      <c r="K387" s="1">
        <f>0.53*E387</f>
        <v>0.53</v>
      </c>
      <c r="P387" s="1"/>
      <c r="Q387" s="1"/>
      <c r="R387" s="1"/>
      <c r="S387" s="1"/>
    </row>
    <row r="388" spans="1:19" x14ac:dyDescent="0.25">
      <c r="A388" s="28" t="s">
        <v>368</v>
      </c>
      <c r="B388" s="182" t="s">
        <v>13</v>
      </c>
      <c r="C388" s="71" t="s">
        <v>564</v>
      </c>
      <c r="D388" s="20" t="s">
        <v>14</v>
      </c>
      <c r="E388" s="20">
        <v>2</v>
      </c>
      <c r="F388" s="29">
        <v>0</v>
      </c>
      <c r="G388" s="15"/>
      <c r="H388" s="29">
        <f t="shared" si="30"/>
        <v>0</v>
      </c>
      <c r="I388" s="15"/>
      <c r="J388" s="1"/>
      <c r="K388" s="1">
        <f>0.17*E388</f>
        <v>0.34</v>
      </c>
      <c r="P388" s="1"/>
      <c r="Q388" s="1"/>
      <c r="R388" s="1"/>
      <c r="S388" s="1"/>
    </row>
    <row r="389" spans="1:19" x14ac:dyDescent="0.25">
      <c r="A389" s="28" t="s">
        <v>369</v>
      </c>
      <c r="B389" s="182" t="s">
        <v>13</v>
      </c>
      <c r="C389" s="71" t="s">
        <v>565</v>
      </c>
      <c r="D389" s="20" t="s">
        <v>14</v>
      </c>
      <c r="E389" s="20">
        <v>1</v>
      </c>
      <c r="F389" s="29">
        <v>0</v>
      </c>
      <c r="G389" s="15"/>
      <c r="H389" s="29">
        <f t="shared" si="30"/>
        <v>0</v>
      </c>
      <c r="I389" s="15"/>
      <c r="J389" s="1"/>
      <c r="K389" s="1">
        <f>0.2*E389</f>
        <v>0.2</v>
      </c>
      <c r="P389" s="1"/>
      <c r="Q389" s="1"/>
      <c r="R389" s="1"/>
      <c r="S389" s="1"/>
    </row>
    <row r="390" spans="1:19" x14ac:dyDescent="0.25">
      <c r="A390" s="28" t="s">
        <v>370</v>
      </c>
      <c r="B390" s="182" t="s">
        <v>13</v>
      </c>
      <c r="C390" s="71" t="s">
        <v>161</v>
      </c>
      <c r="D390" s="20" t="s">
        <v>14</v>
      </c>
      <c r="E390" s="20">
        <v>2</v>
      </c>
      <c r="F390" s="29">
        <v>0</v>
      </c>
      <c r="G390" s="15"/>
      <c r="H390" s="29">
        <f t="shared" si="30"/>
        <v>0</v>
      </c>
      <c r="I390" s="15"/>
      <c r="J390" s="1"/>
      <c r="K390" s="1">
        <f>0.64*E390</f>
        <v>1.28</v>
      </c>
      <c r="P390" s="1"/>
      <c r="Q390" s="1"/>
      <c r="R390" s="1"/>
      <c r="S390" s="1"/>
    </row>
    <row r="391" spans="1:19" x14ac:dyDescent="0.25">
      <c r="A391" s="28" t="s">
        <v>371</v>
      </c>
      <c r="B391" s="182" t="s">
        <v>13</v>
      </c>
      <c r="C391" s="71" t="s">
        <v>162</v>
      </c>
      <c r="D391" s="20" t="s">
        <v>14</v>
      </c>
      <c r="E391" s="20">
        <v>1</v>
      </c>
      <c r="F391" s="29">
        <v>0</v>
      </c>
      <c r="G391" s="15"/>
      <c r="H391" s="29">
        <f t="shared" si="30"/>
        <v>0</v>
      </c>
      <c r="I391" s="15"/>
      <c r="J391" s="1"/>
      <c r="K391" s="1">
        <f>0.74*E391</f>
        <v>0.74</v>
      </c>
      <c r="P391" s="1"/>
      <c r="Q391" s="1"/>
      <c r="R391" s="1"/>
      <c r="S391" s="1"/>
    </row>
    <row r="392" spans="1:19" x14ac:dyDescent="0.25">
      <c r="A392" s="28" t="s">
        <v>447</v>
      </c>
      <c r="B392" s="182" t="s">
        <v>13</v>
      </c>
      <c r="C392" s="71" t="s">
        <v>304</v>
      </c>
      <c r="D392" s="20" t="s">
        <v>14</v>
      </c>
      <c r="E392" s="20">
        <v>1</v>
      </c>
      <c r="F392" s="29">
        <v>0</v>
      </c>
      <c r="G392" s="15"/>
      <c r="H392" s="29">
        <f t="shared" si="30"/>
        <v>0</v>
      </c>
      <c r="I392" s="15"/>
      <c r="J392" s="1"/>
      <c r="K392" s="1">
        <f>0.79*E392</f>
        <v>0.79</v>
      </c>
      <c r="P392" s="1"/>
      <c r="Q392" s="1"/>
      <c r="R392" s="1"/>
      <c r="S392" s="1"/>
    </row>
    <row r="393" spans="1:19" ht="42.75" x14ac:dyDescent="0.25">
      <c r="A393" s="25" t="s">
        <v>29</v>
      </c>
      <c r="B393" s="201" t="s">
        <v>9</v>
      </c>
      <c r="C393" s="159" t="s">
        <v>163</v>
      </c>
      <c r="D393" s="19" t="s">
        <v>53</v>
      </c>
      <c r="E393" s="19">
        <v>102.12</v>
      </c>
      <c r="F393" s="27"/>
      <c r="G393" s="54">
        <v>0</v>
      </c>
      <c r="H393" s="27"/>
      <c r="I393" s="54">
        <f>E393*G393</f>
        <v>0</v>
      </c>
      <c r="J393" s="1"/>
      <c r="K393" s="1">
        <f>SUM(K395:K404)</f>
        <v>102.12</v>
      </c>
      <c r="P393" s="1"/>
      <c r="Q393" s="1"/>
      <c r="R393" s="1"/>
      <c r="S393" s="1"/>
    </row>
    <row r="394" spans="1:19" x14ac:dyDescent="0.25">
      <c r="A394" s="28" t="s">
        <v>31</v>
      </c>
      <c r="B394" s="210" t="s">
        <v>13</v>
      </c>
      <c r="C394" s="71" t="s">
        <v>54</v>
      </c>
      <c r="D394" s="20" t="s">
        <v>38</v>
      </c>
      <c r="E394" s="70">
        <f>2.25*E393</f>
        <v>229.77</v>
      </c>
      <c r="F394" s="29">
        <v>0</v>
      </c>
      <c r="G394" s="15"/>
      <c r="H394" s="29">
        <f>F394*E394</f>
        <v>0</v>
      </c>
      <c r="I394" s="15"/>
      <c r="J394" s="1"/>
      <c r="K394" s="1"/>
      <c r="P394" s="1"/>
      <c r="Q394" s="1"/>
      <c r="R394" s="1"/>
      <c r="S394" s="1"/>
    </row>
    <row r="395" spans="1:19" x14ac:dyDescent="0.25">
      <c r="A395" s="28" t="s">
        <v>62</v>
      </c>
      <c r="B395" s="182" t="s">
        <v>13</v>
      </c>
      <c r="C395" s="71" t="s">
        <v>305</v>
      </c>
      <c r="D395" s="20" t="s">
        <v>57</v>
      </c>
      <c r="E395" s="20">
        <v>50.8</v>
      </c>
      <c r="F395" s="29">
        <v>0</v>
      </c>
      <c r="G395" s="15"/>
      <c r="H395" s="29">
        <f t="shared" ref="H395:H404" si="31">F395*E395</f>
        <v>0</v>
      </c>
      <c r="I395" s="15"/>
      <c r="J395" s="1"/>
      <c r="K395" s="1">
        <f>1.8*E395</f>
        <v>91.44</v>
      </c>
      <c r="P395" s="1"/>
      <c r="Q395" s="1"/>
      <c r="R395" s="1"/>
      <c r="S395" s="1"/>
    </row>
    <row r="396" spans="1:19" x14ac:dyDescent="0.25">
      <c r="A396" s="28" t="s">
        <v>63</v>
      </c>
      <c r="B396" s="182" t="s">
        <v>13</v>
      </c>
      <c r="C396" s="71" t="s">
        <v>165</v>
      </c>
      <c r="D396" s="20" t="s">
        <v>57</v>
      </c>
      <c r="E396" s="20">
        <v>1.6</v>
      </c>
      <c r="F396" s="29">
        <v>0</v>
      </c>
      <c r="G396" s="15"/>
      <c r="H396" s="29">
        <f t="shared" si="31"/>
        <v>0</v>
      </c>
      <c r="I396" s="15"/>
      <c r="J396" s="1"/>
      <c r="K396" s="1">
        <f>2*E396</f>
        <v>3.2</v>
      </c>
      <c r="P396" s="1"/>
      <c r="Q396" s="1"/>
      <c r="R396" s="1"/>
      <c r="S396" s="1"/>
    </row>
    <row r="397" spans="1:19" x14ac:dyDescent="0.25">
      <c r="A397" s="28" t="s">
        <v>64</v>
      </c>
      <c r="B397" s="182" t="s">
        <v>13</v>
      </c>
      <c r="C397" s="71" t="s">
        <v>306</v>
      </c>
      <c r="D397" s="20" t="s">
        <v>14</v>
      </c>
      <c r="E397" s="329">
        <v>1</v>
      </c>
      <c r="F397" s="29">
        <v>0</v>
      </c>
      <c r="G397" s="15"/>
      <c r="H397" s="29">
        <f t="shared" si="31"/>
        <v>0</v>
      </c>
      <c r="I397" s="15"/>
      <c r="J397" s="1"/>
      <c r="K397" s="1">
        <f>0.27*E397</f>
        <v>0.27</v>
      </c>
      <c r="P397" s="1"/>
      <c r="Q397" s="1"/>
      <c r="R397" s="1"/>
      <c r="S397" s="1"/>
    </row>
    <row r="398" spans="1:19" x14ac:dyDescent="0.25">
      <c r="A398" s="28" t="s">
        <v>65</v>
      </c>
      <c r="B398" s="182" t="s">
        <v>13</v>
      </c>
      <c r="C398" s="71" t="s">
        <v>562</v>
      </c>
      <c r="D398" s="20" t="s">
        <v>14</v>
      </c>
      <c r="E398" s="20">
        <v>1</v>
      </c>
      <c r="F398" s="29">
        <v>0</v>
      </c>
      <c r="G398" s="15"/>
      <c r="H398" s="29">
        <f t="shared" si="31"/>
        <v>0</v>
      </c>
      <c r="I398" s="15"/>
      <c r="J398" s="1"/>
      <c r="K398" s="1">
        <f>0.63*E398</f>
        <v>0.63</v>
      </c>
      <c r="P398" s="1"/>
      <c r="Q398" s="1"/>
      <c r="R398" s="1"/>
      <c r="S398" s="1"/>
    </row>
    <row r="399" spans="1:19" x14ac:dyDescent="0.25">
      <c r="A399" s="28" t="s">
        <v>372</v>
      </c>
      <c r="B399" s="182" t="s">
        <v>13</v>
      </c>
      <c r="C399" s="71" t="s">
        <v>563</v>
      </c>
      <c r="D399" s="20" t="s">
        <v>14</v>
      </c>
      <c r="E399" s="20">
        <v>1</v>
      </c>
      <c r="F399" s="29">
        <v>0</v>
      </c>
      <c r="G399" s="15"/>
      <c r="H399" s="29">
        <f t="shared" si="31"/>
        <v>0</v>
      </c>
      <c r="I399" s="15"/>
      <c r="J399" s="1"/>
      <c r="K399" s="1">
        <f>0.9*E399</f>
        <v>0.9</v>
      </c>
      <c r="P399" s="1"/>
      <c r="Q399" s="1"/>
      <c r="R399" s="1"/>
      <c r="S399" s="1"/>
    </row>
    <row r="400" spans="1:19" x14ac:dyDescent="0.25">
      <c r="A400" s="28" t="s">
        <v>373</v>
      </c>
      <c r="B400" s="182" t="s">
        <v>13</v>
      </c>
      <c r="C400" s="71" t="s">
        <v>568</v>
      </c>
      <c r="D400" s="20" t="s">
        <v>14</v>
      </c>
      <c r="E400" s="20">
        <v>2</v>
      </c>
      <c r="F400" s="29">
        <v>0</v>
      </c>
      <c r="G400" s="15"/>
      <c r="H400" s="29">
        <f t="shared" si="31"/>
        <v>0</v>
      </c>
      <c r="I400" s="15"/>
      <c r="J400" s="1"/>
      <c r="K400" s="1">
        <f>0.78*E400</f>
        <v>1.56</v>
      </c>
      <c r="P400" s="1"/>
      <c r="Q400" s="1"/>
      <c r="R400" s="1"/>
      <c r="S400" s="1"/>
    </row>
    <row r="401" spans="1:19" ht="14.25" customHeight="1" x14ac:dyDescent="0.25">
      <c r="A401" s="28" t="s">
        <v>374</v>
      </c>
      <c r="B401" s="182" t="s">
        <v>13</v>
      </c>
      <c r="C401" s="71" t="s">
        <v>307</v>
      </c>
      <c r="D401" s="20" t="s">
        <v>14</v>
      </c>
      <c r="E401" s="20">
        <v>1</v>
      </c>
      <c r="F401" s="29">
        <v>0</v>
      </c>
      <c r="G401" s="15"/>
      <c r="H401" s="29">
        <f t="shared" si="31"/>
        <v>0</v>
      </c>
      <c r="I401" s="15"/>
      <c r="J401" s="1"/>
      <c r="K401" s="1">
        <f>0.96*E401</f>
        <v>0.96</v>
      </c>
      <c r="P401" s="1"/>
      <c r="Q401" s="1"/>
      <c r="R401" s="1"/>
      <c r="S401" s="1"/>
    </row>
    <row r="402" spans="1:19" ht="14.25" customHeight="1" x14ac:dyDescent="0.25">
      <c r="A402" s="28" t="s">
        <v>418</v>
      </c>
      <c r="B402" s="182" t="s">
        <v>13</v>
      </c>
      <c r="C402" s="71" t="s">
        <v>569</v>
      </c>
      <c r="D402" s="20" t="s">
        <v>14</v>
      </c>
      <c r="E402" s="20">
        <v>1</v>
      </c>
      <c r="F402" s="29">
        <v>0</v>
      </c>
      <c r="G402" s="15"/>
      <c r="H402" s="29">
        <f t="shared" si="31"/>
        <v>0</v>
      </c>
      <c r="I402" s="15"/>
      <c r="J402" s="1"/>
      <c r="K402" s="1">
        <f>1.38*E402</f>
        <v>1.38</v>
      </c>
      <c r="P402" s="1"/>
      <c r="Q402" s="1"/>
      <c r="R402" s="1"/>
      <c r="S402" s="1"/>
    </row>
    <row r="403" spans="1:19" ht="14.25" customHeight="1" x14ac:dyDescent="0.25">
      <c r="A403" s="28" t="s">
        <v>478</v>
      </c>
      <c r="B403" s="182" t="s">
        <v>13</v>
      </c>
      <c r="C403" s="11" t="s">
        <v>308</v>
      </c>
      <c r="D403" s="20" t="s">
        <v>14</v>
      </c>
      <c r="E403" s="20">
        <v>1</v>
      </c>
      <c r="F403" s="29">
        <v>0</v>
      </c>
      <c r="G403" s="15"/>
      <c r="H403" s="29">
        <f t="shared" si="31"/>
        <v>0</v>
      </c>
      <c r="I403" s="15"/>
      <c r="J403" s="1"/>
      <c r="K403" s="1">
        <f>0.73*E403</f>
        <v>0.73</v>
      </c>
      <c r="P403" s="1"/>
      <c r="Q403" s="1"/>
      <c r="R403" s="1"/>
      <c r="S403" s="1"/>
    </row>
    <row r="404" spans="1:19" ht="14.25" customHeight="1" x14ac:dyDescent="0.25">
      <c r="A404" s="28" t="s">
        <v>573</v>
      </c>
      <c r="B404" s="182" t="s">
        <v>13</v>
      </c>
      <c r="C404" s="11" t="s">
        <v>571</v>
      </c>
      <c r="D404" s="20" t="s">
        <v>14</v>
      </c>
      <c r="E404" s="20">
        <v>1</v>
      </c>
      <c r="F404" s="29">
        <v>0</v>
      </c>
      <c r="G404" s="15"/>
      <c r="H404" s="29">
        <f t="shared" si="31"/>
        <v>0</v>
      </c>
      <c r="I404" s="15"/>
      <c r="J404" s="1"/>
      <c r="K404" s="1">
        <f>1.05*E404</f>
        <v>1.05</v>
      </c>
      <c r="P404" s="1"/>
      <c r="Q404" s="1"/>
      <c r="R404" s="1"/>
      <c r="S404" s="1"/>
    </row>
    <row r="405" spans="1:19" ht="50.25" customHeight="1" x14ac:dyDescent="0.25">
      <c r="A405" s="25" t="s">
        <v>32</v>
      </c>
      <c r="B405" s="201" t="s">
        <v>9</v>
      </c>
      <c r="C405" s="17" t="s">
        <v>167</v>
      </c>
      <c r="D405" s="19" t="s">
        <v>53</v>
      </c>
      <c r="E405" s="19">
        <v>11.89</v>
      </c>
      <c r="F405" s="29"/>
      <c r="G405" s="54">
        <v>0</v>
      </c>
      <c r="H405" s="29"/>
      <c r="I405" s="54">
        <f>E405*G405</f>
        <v>0</v>
      </c>
      <c r="J405" s="1"/>
      <c r="K405" s="1">
        <f>K407+K408+K409+K410+K411</f>
        <v>11.89</v>
      </c>
      <c r="P405" s="1"/>
      <c r="Q405" s="1"/>
      <c r="R405" s="1"/>
      <c r="S405" s="1"/>
    </row>
    <row r="406" spans="1:19" ht="14.25" customHeight="1" x14ac:dyDescent="0.25">
      <c r="A406" s="28" t="s">
        <v>33</v>
      </c>
      <c r="B406" s="182" t="s">
        <v>13</v>
      </c>
      <c r="C406" s="11" t="s">
        <v>54</v>
      </c>
      <c r="D406" s="20" t="s">
        <v>38</v>
      </c>
      <c r="E406" s="70">
        <f>2.25*E405</f>
        <v>26.75</v>
      </c>
      <c r="F406" s="29">
        <v>0</v>
      </c>
      <c r="G406" s="15"/>
      <c r="H406" s="29">
        <f t="shared" ref="H406:H411" si="32">E406*F406</f>
        <v>0</v>
      </c>
      <c r="I406" s="15"/>
      <c r="J406" s="1"/>
      <c r="K406" s="1"/>
      <c r="P406" s="1"/>
      <c r="Q406" s="1"/>
      <c r="R406" s="1"/>
      <c r="S406" s="1"/>
    </row>
    <row r="407" spans="1:19" ht="36.75" customHeight="1" x14ac:dyDescent="0.25">
      <c r="A407" s="28" t="s">
        <v>34</v>
      </c>
      <c r="B407" s="182" t="s">
        <v>13</v>
      </c>
      <c r="C407" s="11" t="s">
        <v>168</v>
      </c>
      <c r="D407" s="20" t="s">
        <v>57</v>
      </c>
      <c r="E407" s="20">
        <v>0.9</v>
      </c>
      <c r="F407" s="29">
        <v>0</v>
      </c>
      <c r="G407" s="15"/>
      <c r="H407" s="29">
        <f t="shared" si="32"/>
        <v>0</v>
      </c>
      <c r="I407" s="15"/>
      <c r="J407" s="1"/>
      <c r="K407" s="1">
        <f>2.8*E407</f>
        <v>2.52</v>
      </c>
      <c r="P407" s="1"/>
      <c r="Q407" s="1"/>
      <c r="R407" s="1"/>
      <c r="S407" s="1"/>
    </row>
    <row r="408" spans="1:19" ht="31.5" customHeight="1" x14ac:dyDescent="0.25">
      <c r="A408" s="28" t="s">
        <v>35</v>
      </c>
      <c r="B408" s="182" t="s">
        <v>13</v>
      </c>
      <c r="C408" s="11" t="s">
        <v>169</v>
      </c>
      <c r="D408" s="20" t="s">
        <v>57</v>
      </c>
      <c r="E408" s="20">
        <v>1.7</v>
      </c>
      <c r="F408" s="29">
        <v>0</v>
      </c>
      <c r="G408" s="15"/>
      <c r="H408" s="29">
        <f t="shared" si="32"/>
        <v>0</v>
      </c>
      <c r="I408" s="15"/>
      <c r="J408" s="1"/>
      <c r="K408" s="1">
        <f>2.8*E408</f>
        <v>4.76</v>
      </c>
      <c r="P408" s="1"/>
      <c r="Q408" s="1"/>
      <c r="R408" s="1"/>
      <c r="S408" s="1"/>
    </row>
    <row r="409" spans="1:19" ht="30" customHeight="1" x14ac:dyDescent="0.25">
      <c r="A409" s="28" t="s">
        <v>134</v>
      </c>
      <c r="B409" s="182" t="s">
        <v>13</v>
      </c>
      <c r="C409" s="11" t="s">
        <v>570</v>
      </c>
      <c r="D409" s="20" t="s">
        <v>14</v>
      </c>
      <c r="E409" s="20">
        <v>1</v>
      </c>
      <c r="F409" s="29">
        <v>0</v>
      </c>
      <c r="G409" s="15"/>
      <c r="H409" s="29">
        <f t="shared" si="32"/>
        <v>0</v>
      </c>
      <c r="I409" s="15"/>
      <c r="J409" s="1"/>
      <c r="K409" s="1">
        <f>2.15*E409</f>
        <v>2.15</v>
      </c>
      <c r="P409" s="1"/>
      <c r="Q409" s="1"/>
      <c r="R409" s="1"/>
      <c r="S409" s="1"/>
    </row>
    <row r="410" spans="1:19" ht="32.25" customHeight="1" x14ac:dyDescent="0.25">
      <c r="A410" s="28" t="s">
        <v>135</v>
      </c>
      <c r="B410" s="182" t="s">
        <v>13</v>
      </c>
      <c r="C410" s="11" t="s">
        <v>572</v>
      </c>
      <c r="D410" s="20" t="s">
        <v>14</v>
      </c>
      <c r="E410" s="20">
        <v>1</v>
      </c>
      <c r="F410" s="29">
        <v>0</v>
      </c>
      <c r="G410" s="15"/>
      <c r="H410" s="29">
        <f t="shared" si="32"/>
        <v>0</v>
      </c>
      <c r="I410" s="15"/>
      <c r="J410" s="1"/>
      <c r="K410" s="1">
        <f>1.84*E410</f>
        <v>1.84</v>
      </c>
      <c r="P410" s="1"/>
      <c r="Q410" s="1"/>
      <c r="R410" s="1"/>
      <c r="S410" s="1"/>
    </row>
    <row r="411" spans="1:19" ht="14.25" customHeight="1" x14ac:dyDescent="0.25">
      <c r="A411" s="28" t="s">
        <v>419</v>
      </c>
      <c r="B411" s="182" t="s">
        <v>13</v>
      </c>
      <c r="C411" s="71" t="s">
        <v>566</v>
      </c>
      <c r="D411" s="20" t="s">
        <v>14</v>
      </c>
      <c r="E411" s="20">
        <v>1</v>
      </c>
      <c r="F411" s="29">
        <v>0</v>
      </c>
      <c r="G411" s="15"/>
      <c r="H411" s="29">
        <f t="shared" si="32"/>
        <v>0</v>
      </c>
      <c r="I411" s="15"/>
      <c r="J411" s="1"/>
      <c r="K411" s="1">
        <f>0.62*E411</f>
        <v>0.62</v>
      </c>
      <c r="P411" s="1"/>
      <c r="Q411" s="1"/>
      <c r="R411" s="1"/>
      <c r="S411" s="1"/>
    </row>
    <row r="412" spans="1:19" ht="36" customHeight="1" x14ac:dyDescent="0.25">
      <c r="A412" s="25" t="s">
        <v>36</v>
      </c>
      <c r="B412" s="201" t="s">
        <v>174</v>
      </c>
      <c r="C412" s="17" t="s">
        <v>47</v>
      </c>
      <c r="D412" s="19" t="s">
        <v>14</v>
      </c>
      <c r="E412" s="19">
        <v>5</v>
      </c>
      <c r="F412" s="27"/>
      <c r="G412" s="54">
        <v>0</v>
      </c>
      <c r="H412" s="27"/>
      <c r="I412" s="54">
        <f>E412*G412</f>
        <v>0</v>
      </c>
      <c r="J412" s="1"/>
      <c r="K412" s="1"/>
      <c r="P412" s="1"/>
      <c r="Q412" s="1"/>
      <c r="R412" s="1"/>
      <c r="S412" s="1"/>
    </row>
    <row r="413" spans="1:19" ht="39.75" customHeight="1" x14ac:dyDescent="0.25">
      <c r="A413" s="28" t="s">
        <v>37</v>
      </c>
      <c r="B413" s="182" t="s">
        <v>13</v>
      </c>
      <c r="C413" s="11" t="s">
        <v>171</v>
      </c>
      <c r="D413" s="20" t="s">
        <v>14</v>
      </c>
      <c r="E413" s="329">
        <v>2</v>
      </c>
      <c r="F413" s="29">
        <v>0</v>
      </c>
      <c r="G413" s="15"/>
      <c r="H413" s="29">
        <f>E413*F413</f>
        <v>0</v>
      </c>
      <c r="I413" s="15"/>
      <c r="J413" s="1"/>
      <c r="K413" s="1"/>
      <c r="P413" s="1"/>
      <c r="Q413" s="1"/>
      <c r="R413" s="1"/>
      <c r="S413" s="1"/>
    </row>
    <row r="414" spans="1:19" ht="37.5" customHeight="1" x14ac:dyDescent="0.25">
      <c r="A414" s="28" t="s">
        <v>224</v>
      </c>
      <c r="B414" s="182" t="s">
        <v>13</v>
      </c>
      <c r="C414" s="330" t="s">
        <v>172</v>
      </c>
      <c r="D414" s="331" t="s">
        <v>14</v>
      </c>
      <c r="E414" s="332">
        <v>2</v>
      </c>
      <c r="F414" s="333">
        <v>0</v>
      </c>
      <c r="G414" s="334"/>
      <c r="H414" s="333">
        <f>E414*F414</f>
        <v>0</v>
      </c>
      <c r="I414" s="334"/>
      <c r="J414" s="1"/>
      <c r="K414" s="1"/>
      <c r="P414" s="1"/>
      <c r="Q414" s="1"/>
      <c r="R414" s="1"/>
      <c r="S414" s="1"/>
    </row>
    <row r="415" spans="1:19" ht="37.5" customHeight="1" x14ac:dyDescent="0.25">
      <c r="A415" s="28" t="s">
        <v>230</v>
      </c>
      <c r="B415" s="182" t="s">
        <v>13</v>
      </c>
      <c r="C415" s="330" t="s">
        <v>173</v>
      </c>
      <c r="D415" s="331" t="s">
        <v>14</v>
      </c>
      <c r="E415" s="332">
        <v>1</v>
      </c>
      <c r="F415" s="333">
        <v>0</v>
      </c>
      <c r="G415" s="334"/>
      <c r="H415" s="333">
        <f>E415*F415</f>
        <v>0</v>
      </c>
      <c r="I415" s="334"/>
      <c r="J415" s="1"/>
      <c r="K415" s="1"/>
      <c r="P415" s="1"/>
      <c r="Q415" s="1"/>
      <c r="R415" s="1"/>
      <c r="S415" s="1"/>
    </row>
    <row r="416" spans="1:19" ht="33" customHeight="1" x14ac:dyDescent="0.25">
      <c r="A416" s="25" t="s">
        <v>39</v>
      </c>
      <c r="B416" s="201" t="s">
        <v>174</v>
      </c>
      <c r="C416" s="17" t="s">
        <v>51</v>
      </c>
      <c r="D416" s="19" t="s">
        <v>14</v>
      </c>
      <c r="E416" s="19">
        <v>1</v>
      </c>
      <c r="F416" s="27"/>
      <c r="G416" s="54">
        <v>0</v>
      </c>
      <c r="H416" s="27"/>
      <c r="I416" s="54">
        <f>E416*G416</f>
        <v>0</v>
      </c>
      <c r="J416" s="1"/>
      <c r="K416" s="1"/>
      <c r="P416" s="1"/>
      <c r="Q416" s="1"/>
      <c r="R416" s="1"/>
      <c r="S416" s="1"/>
    </row>
    <row r="417" spans="1:19" ht="32.25" customHeight="1" x14ac:dyDescent="0.25">
      <c r="A417" s="28" t="s">
        <v>40</v>
      </c>
      <c r="B417" s="182" t="s">
        <v>13</v>
      </c>
      <c r="C417" s="330" t="s">
        <v>309</v>
      </c>
      <c r="D417" s="331" t="s">
        <v>14</v>
      </c>
      <c r="E417" s="332">
        <v>1</v>
      </c>
      <c r="F417" s="333">
        <v>0</v>
      </c>
      <c r="G417" s="334"/>
      <c r="H417" s="333">
        <f>E417*F417</f>
        <v>0</v>
      </c>
      <c r="I417" s="334"/>
      <c r="J417" s="1"/>
      <c r="K417" s="1"/>
      <c r="P417" s="1"/>
      <c r="Q417" s="1"/>
      <c r="R417" s="1"/>
      <c r="S417" s="1"/>
    </row>
    <row r="418" spans="1:19" ht="36" customHeight="1" x14ac:dyDescent="0.25">
      <c r="A418" s="25" t="s">
        <v>233</v>
      </c>
      <c r="B418" s="209" t="s">
        <v>9</v>
      </c>
      <c r="C418" s="21" t="s">
        <v>126</v>
      </c>
      <c r="D418" s="19" t="s">
        <v>14</v>
      </c>
      <c r="E418" s="19">
        <v>79</v>
      </c>
      <c r="F418" s="27"/>
      <c r="G418" s="54">
        <v>0</v>
      </c>
      <c r="H418" s="27"/>
      <c r="I418" s="54">
        <f>E418*G418</f>
        <v>0</v>
      </c>
      <c r="J418" s="1"/>
      <c r="K418" s="1"/>
      <c r="P418" s="1"/>
      <c r="Q418" s="1"/>
      <c r="R418" s="1"/>
      <c r="S418" s="1"/>
    </row>
    <row r="419" spans="1:19" ht="25.5" customHeight="1" x14ac:dyDescent="0.25">
      <c r="A419" s="28" t="s">
        <v>42</v>
      </c>
      <c r="B419" s="182" t="s">
        <v>13</v>
      </c>
      <c r="C419" s="11" t="s">
        <v>176</v>
      </c>
      <c r="D419" s="20" t="s">
        <v>14</v>
      </c>
      <c r="E419" s="20">
        <v>79</v>
      </c>
      <c r="F419" s="29">
        <v>0</v>
      </c>
      <c r="G419" s="54"/>
      <c r="H419" s="333">
        <f t="shared" ref="H419:H421" si="33">E419*F419</f>
        <v>0</v>
      </c>
      <c r="I419" s="54"/>
      <c r="J419" s="1"/>
      <c r="K419" s="1"/>
      <c r="P419" s="1"/>
      <c r="Q419" s="1"/>
      <c r="R419" s="1"/>
      <c r="S419" s="1"/>
    </row>
    <row r="420" spans="1:19" ht="33.75" customHeight="1" x14ac:dyDescent="0.25">
      <c r="A420" s="302" t="s">
        <v>68</v>
      </c>
      <c r="B420" s="209" t="s">
        <v>9</v>
      </c>
      <c r="C420" s="17" t="s">
        <v>460</v>
      </c>
      <c r="D420" s="19" t="s">
        <v>14</v>
      </c>
      <c r="E420" s="19">
        <v>64</v>
      </c>
      <c r="F420" s="27"/>
      <c r="G420" s="54">
        <v>0</v>
      </c>
      <c r="H420" s="270"/>
      <c r="I420" s="54">
        <f>E420*G420</f>
        <v>0</v>
      </c>
      <c r="J420" s="1"/>
      <c r="K420" s="1"/>
      <c r="P420" s="1"/>
      <c r="Q420" s="1"/>
      <c r="R420" s="1"/>
      <c r="S420" s="1"/>
    </row>
    <row r="421" spans="1:19" ht="24.75" customHeight="1" x14ac:dyDescent="0.25">
      <c r="A421" s="117" t="s">
        <v>69</v>
      </c>
      <c r="B421" s="182" t="s">
        <v>13</v>
      </c>
      <c r="C421" s="11" t="s">
        <v>175</v>
      </c>
      <c r="D421" s="20" t="s">
        <v>14</v>
      </c>
      <c r="E421" s="20">
        <v>64</v>
      </c>
      <c r="F421" s="29">
        <v>0</v>
      </c>
      <c r="G421" s="15"/>
      <c r="H421" s="333">
        <f t="shared" si="33"/>
        <v>0</v>
      </c>
      <c r="I421" s="15"/>
      <c r="J421" s="1"/>
      <c r="K421" s="1"/>
      <c r="P421" s="1"/>
      <c r="Q421" s="1"/>
      <c r="R421" s="1"/>
      <c r="S421" s="1"/>
    </row>
    <row r="422" spans="1:19" ht="37.5" customHeight="1" x14ac:dyDescent="0.25">
      <c r="A422" s="221">
        <v>12</v>
      </c>
      <c r="B422" s="209" t="s">
        <v>9</v>
      </c>
      <c r="C422" s="17" t="s">
        <v>559</v>
      </c>
      <c r="D422" s="19" t="s">
        <v>14</v>
      </c>
      <c r="E422" s="19">
        <v>1</v>
      </c>
      <c r="F422" s="27"/>
      <c r="G422" s="54">
        <v>0</v>
      </c>
      <c r="H422" s="27"/>
      <c r="I422" s="54">
        <f>E422*G422</f>
        <v>0</v>
      </c>
      <c r="J422" s="1"/>
      <c r="K422" s="1"/>
      <c r="P422" s="1"/>
      <c r="Q422" s="1"/>
      <c r="R422" s="1"/>
      <c r="S422" s="1"/>
    </row>
    <row r="423" spans="1:19" ht="24.75" customHeight="1" x14ac:dyDescent="0.25">
      <c r="A423" s="28" t="s">
        <v>72</v>
      </c>
      <c r="B423" s="182" t="s">
        <v>13</v>
      </c>
      <c r="C423" s="11" t="s">
        <v>560</v>
      </c>
      <c r="D423" s="20" t="s">
        <v>14</v>
      </c>
      <c r="E423" s="12">
        <v>1</v>
      </c>
      <c r="F423" s="29">
        <v>0</v>
      </c>
      <c r="G423" s="15"/>
      <c r="H423" s="29">
        <f>E423*F423</f>
        <v>0</v>
      </c>
      <c r="I423" s="15"/>
      <c r="J423" s="1"/>
      <c r="K423" s="1"/>
      <c r="P423" s="1"/>
      <c r="Q423" s="1"/>
      <c r="R423" s="1"/>
      <c r="S423" s="1"/>
    </row>
    <row r="424" spans="1:19" ht="30.75" customHeight="1" x14ac:dyDescent="0.25">
      <c r="A424" s="155" t="s">
        <v>561</v>
      </c>
      <c r="B424" s="222" t="s">
        <v>9</v>
      </c>
      <c r="C424" s="17" t="s">
        <v>557</v>
      </c>
      <c r="D424" s="19" t="s">
        <v>454</v>
      </c>
      <c r="E424" s="18">
        <v>5</v>
      </c>
      <c r="F424" s="27"/>
      <c r="G424" s="237">
        <v>0</v>
      </c>
      <c r="H424" s="27"/>
      <c r="I424" s="54">
        <f>E424*G424</f>
        <v>0</v>
      </c>
      <c r="J424" s="1"/>
      <c r="K424" s="1"/>
      <c r="P424" s="1"/>
      <c r="Q424" s="1"/>
      <c r="R424" s="1"/>
      <c r="S424" s="1"/>
    </row>
    <row r="425" spans="1:19" ht="36.75" customHeight="1" x14ac:dyDescent="0.25">
      <c r="A425" s="155" t="s">
        <v>75</v>
      </c>
      <c r="B425" s="204" t="s">
        <v>9</v>
      </c>
      <c r="C425" s="17" t="s">
        <v>200</v>
      </c>
      <c r="D425" s="19" t="s">
        <v>53</v>
      </c>
      <c r="E425" s="125">
        <v>489.7</v>
      </c>
      <c r="F425" s="132"/>
      <c r="G425" s="54">
        <v>0</v>
      </c>
      <c r="H425" s="95"/>
      <c r="I425" s="54">
        <f>E425*G425</f>
        <v>0</v>
      </c>
      <c r="J425" s="1"/>
      <c r="K425" s="1"/>
      <c r="P425" s="1"/>
      <c r="Q425" s="1"/>
      <c r="R425" s="1"/>
      <c r="S425" s="1"/>
    </row>
    <row r="426" spans="1:19" ht="14.25" customHeight="1" x14ac:dyDescent="0.25">
      <c r="A426" s="28" t="s">
        <v>76</v>
      </c>
      <c r="B426" s="194" t="s">
        <v>13</v>
      </c>
      <c r="C426" s="167" t="s">
        <v>198</v>
      </c>
      <c r="D426" s="84" t="s">
        <v>53</v>
      </c>
      <c r="E426" s="12">
        <f>1.1*E425</f>
        <v>538.66999999999996</v>
      </c>
      <c r="F426" s="29">
        <v>0</v>
      </c>
      <c r="G426" s="94"/>
      <c r="H426" s="107">
        <f>E426*F426</f>
        <v>0</v>
      </c>
      <c r="I426" s="15"/>
      <c r="J426" s="1"/>
      <c r="K426" s="1"/>
      <c r="P426" s="1"/>
      <c r="Q426" s="1"/>
      <c r="R426" s="1"/>
      <c r="S426" s="1"/>
    </row>
    <row r="427" spans="1:19" ht="14.25" customHeight="1" x14ac:dyDescent="0.25">
      <c r="A427" s="28" t="s">
        <v>375</v>
      </c>
      <c r="B427" s="194" t="s">
        <v>13</v>
      </c>
      <c r="C427" s="11" t="s">
        <v>259</v>
      </c>
      <c r="D427" s="20" t="s">
        <v>38</v>
      </c>
      <c r="E427" s="12">
        <f>0.7*E425</f>
        <v>342.79</v>
      </c>
      <c r="F427" s="29">
        <v>0</v>
      </c>
      <c r="G427" s="94"/>
      <c r="H427" s="107">
        <f>E427*F427</f>
        <v>0</v>
      </c>
      <c r="I427" s="15"/>
      <c r="J427" s="1"/>
      <c r="K427" s="1"/>
      <c r="P427" s="1"/>
      <c r="Q427" s="1"/>
      <c r="R427" s="1"/>
      <c r="S427" s="1"/>
    </row>
    <row r="428" spans="1:19" ht="32.25" customHeight="1" x14ac:dyDescent="0.25">
      <c r="A428" s="155" t="s">
        <v>77</v>
      </c>
      <c r="B428" s="222" t="s">
        <v>9</v>
      </c>
      <c r="C428" s="220" t="s">
        <v>190</v>
      </c>
      <c r="D428" s="83" t="s">
        <v>53</v>
      </c>
      <c r="E428" s="83">
        <v>5.8</v>
      </c>
      <c r="F428" s="132"/>
      <c r="G428" s="59">
        <v>0</v>
      </c>
      <c r="H428" s="132"/>
      <c r="I428" s="59">
        <f>E428*G428</f>
        <v>0</v>
      </c>
      <c r="J428" s="1"/>
      <c r="K428" s="1"/>
      <c r="P428" s="1"/>
      <c r="Q428" s="1"/>
      <c r="R428" s="1"/>
      <c r="S428" s="1"/>
    </row>
    <row r="429" spans="1:19" ht="14.25" customHeight="1" x14ac:dyDescent="0.25">
      <c r="A429" s="118" t="s">
        <v>78</v>
      </c>
      <c r="B429" s="335" t="s">
        <v>13</v>
      </c>
      <c r="C429" s="167" t="s">
        <v>191</v>
      </c>
      <c r="D429" s="84" t="s">
        <v>53</v>
      </c>
      <c r="E429" s="84">
        <v>5.8</v>
      </c>
      <c r="F429" s="336">
        <v>0</v>
      </c>
      <c r="G429" s="112"/>
      <c r="H429" s="336">
        <f>E429*F429</f>
        <v>0</v>
      </c>
      <c r="I429" s="112"/>
      <c r="J429" s="1"/>
      <c r="K429" s="1"/>
      <c r="P429" s="1"/>
      <c r="Q429" s="1"/>
      <c r="R429" s="1"/>
      <c r="S429" s="1"/>
    </row>
    <row r="430" spans="1:19" ht="14.25" customHeight="1" thickBot="1" x14ac:dyDescent="0.3">
      <c r="A430" s="117" t="s">
        <v>380</v>
      </c>
      <c r="B430" s="210" t="s">
        <v>13</v>
      </c>
      <c r="C430" s="330" t="s">
        <v>192</v>
      </c>
      <c r="D430" s="331" t="s">
        <v>53</v>
      </c>
      <c r="E430" s="331">
        <v>5.8</v>
      </c>
      <c r="F430" s="333">
        <v>0</v>
      </c>
      <c r="G430" s="334"/>
      <c r="H430" s="333">
        <f>E430*F430</f>
        <v>0</v>
      </c>
      <c r="I430" s="334"/>
      <c r="J430" s="1"/>
      <c r="K430" s="1"/>
      <c r="P430" s="1"/>
      <c r="Q430" s="1"/>
      <c r="R430" s="1"/>
      <c r="S430" s="1"/>
    </row>
    <row r="431" spans="1:19" ht="14.25" customHeight="1" thickBot="1" x14ac:dyDescent="0.3">
      <c r="A431" s="44"/>
      <c r="B431" s="183"/>
      <c r="C431" s="238" t="s">
        <v>407</v>
      </c>
      <c r="D431" s="3"/>
      <c r="E431" s="3"/>
      <c r="F431" s="91"/>
      <c r="G431" s="81"/>
      <c r="H431" s="91">
        <f>SUM(H361:H430)</f>
        <v>0</v>
      </c>
      <c r="I431" s="81">
        <f>SUM(I360:I430)</f>
        <v>0</v>
      </c>
      <c r="J431" s="1"/>
      <c r="K431" s="1"/>
      <c r="P431" s="1"/>
      <c r="Q431" s="1"/>
      <c r="R431" s="1"/>
      <c r="S431" s="1"/>
    </row>
    <row r="432" spans="1:19" ht="14.25" customHeight="1" thickBot="1" x14ac:dyDescent="0.3">
      <c r="A432" s="78"/>
      <c r="B432" s="211"/>
      <c r="C432" s="90" t="s">
        <v>311</v>
      </c>
      <c r="D432" s="46"/>
      <c r="E432" s="46"/>
      <c r="F432" s="119"/>
      <c r="G432" s="50"/>
      <c r="H432" s="119"/>
      <c r="I432" s="50"/>
      <c r="J432" s="1"/>
      <c r="K432" s="1"/>
      <c r="P432" s="1"/>
      <c r="Q432" s="1"/>
      <c r="R432" s="1"/>
      <c r="S432" s="1"/>
    </row>
    <row r="433" spans="1:19" ht="48.75" customHeight="1" x14ac:dyDescent="0.25">
      <c r="A433" s="61" t="s">
        <v>79</v>
      </c>
      <c r="B433" s="181" t="s">
        <v>9</v>
      </c>
      <c r="C433" s="158" t="s">
        <v>52</v>
      </c>
      <c r="D433" s="63" t="s">
        <v>53</v>
      </c>
      <c r="E433" s="63">
        <v>57.4</v>
      </c>
      <c r="F433" s="88"/>
      <c r="G433" s="40">
        <v>0</v>
      </c>
      <c r="H433" s="88"/>
      <c r="I433" s="40">
        <f>E433*G433</f>
        <v>0</v>
      </c>
      <c r="J433" s="1"/>
      <c r="K433" s="1">
        <f>K435+K436+K437+K438+K439</f>
        <v>57.4</v>
      </c>
      <c r="P433" s="1"/>
      <c r="Q433" s="1"/>
      <c r="R433" s="1"/>
      <c r="S433" s="1"/>
    </row>
    <row r="434" spans="1:19" ht="14.25" customHeight="1" x14ac:dyDescent="0.25">
      <c r="A434" s="28" t="s">
        <v>80</v>
      </c>
      <c r="B434" s="182" t="s">
        <v>13</v>
      </c>
      <c r="C434" s="67" t="s">
        <v>54</v>
      </c>
      <c r="D434" s="65" t="s">
        <v>38</v>
      </c>
      <c r="E434" s="66">
        <f>0.606*E433</f>
        <v>34.78</v>
      </c>
      <c r="F434" s="29">
        <v>0</v>
      </c>
      <c r="G434" s="15"/>
      <c r="H434" s="29">
        <f>E434*F434</f>
        <v>0</v>
      </c>
      <c r="I434" s="15"/>
      <c r="J434" s="1"/>
      <c r="K434" s="1"/>
      <c r="P434" s="1"/>
      <c r="Q434" s="1"/>
      <c r="R434" s="1"/>
      <c r="S434" s="1"/>
    </row>
    <row r="435" spans="1:19" ht="14.25" customHeight="1" x14ac:dyDescent="0.25">
      <c r="A435" s="28" t="s">
        <v>81</v>
      </c>
      <c r="B435" s="182" t="s">
        <v>13</v>
      </c>
      <c r="C435" s="67" t="s">
        <v>55</v>
      </c>
      <c r="D435" s="65" t="s">
        <v>57</v>
      </c>
      <c r="E435" s="65">
        <v>89.4</v>
      </c>
      <c r="F435" s="29">
        <v>0</v>
      </c>
      <c r="G435" s="15"/>
      <c r="H435" s="29">
        <f>E435*F435</f>
        <v>0</v>
      </c>
      <c r="I435" s="15"/>
      <c r="J435" s="1"/>
      <c r="K435" s="1">
        <v>28.09</v>
      </c>
      <c r="P435" s="1"/>
      <c r="Q435" s="1"/>
      <c r="R435" s="1"/>
      <c r="S435" s="1"/>
    </row>
    <row r="436" spans="1:19" ht="28.5" customHeight="1" x14ac:dyDescent="0.25">
      <c r="A436" s="28" t="s">
        <v>82</v>
      </c>
      <c r="B436" s="182" t="s">
        <v>13</v>
      </c>
      <c r="C436" s="371" t="s">
        <v>156</v>
      </c>
      <c r="D436" s="65" t="s">
        <v>14</v>
      </c>
      <c r="E436" s="65">
        <v>79</v>
      </c>
      <c r="F436" s="29">
        <v>0</v>
      </c>
      <c r="G436" s="15"/>
      <c r="H436" s="29">
        <f t="shared" ref="H436:H438" si="34">E436*F436</f>
        <v>0</v>
      </c>
      <c r="I436" s="15"/>
      <c r="J436" s="1"/>
      <c r="K436" s="1">
        <f>0.09*E436</f>
        <v>7.11</v>
      </c>
      <c r="P436" s="1"/>
      <c r="Q436" s="1"/>
      <c r="R436" s="1"/>
      <c r="S436" s="1"/>
    </row>
    <row r="437" spans="1:19" ht="28.5" customHeight="1" x14ac:dyDescent="0.25">
      <c r="A437" s="28" t="s">
        <v>83</v>
      </c>
      <c r="B437" s="182" t="s">
        <v>13</v>
      </c>
      <c r="C437" s="371" t="s">
        <v>585</v>
      </c>
      <c r="D437" s="65" t="s">
        <v>14</v>
      </c>
      <c r="E437" s="65">
        <v>1</v>
      </c>
      <c r="F437" s="29">
        <v>0</v>
      </c>
      <c r="G437" s="15"/>
      <c r="H437" s="29">
        <f>E437*F437</f>
        <v>0</v>
      </c>
      <c r="I437" s="15"/>
      <c r="J437" s="1"/>
      <c r="K437" s="1">
        <f>0.1*E437</f>
        <v>0.1</v>
      </c>
      <c r="P437" s="1"/>
      <c r="Q437" s="1"/>
      <c r="R437" s="1"/>
      <c r="S437" s="1"/>
    </row>
    <row r="438" spans="1:19" ht="36" customHeight="1" x14ac:dyDescent="0.25">
      <c r="A438" s="28" t="s">
        <v>84</v>
      </c>
      <c r="B438" s="182" t="s">
        <v>13</v>
      </c>
      <c r="C438" s="371" t="s">
        <v>157</v>
      </c>
      <c r="D438" s="65" t="s">
        <v>14</v>
      </c>
      <c r="E438" s="65">
        <v>62</v>
      </c>
      <c r="F438" s="29">
        <v>0</v>
      </c>
      <c r="G438" s="15"/>
      <c r="H438" s="29">
        <f t="shared" si="34"/>
        <v>0</v>
      </c>
      <c r="I438" s="15"/>
      <c r="J438" s="1"/>
      <c r="K438" s="1">
        <f>0.1*E438</f>
        <v>6.2</v>
      </c>
      <c r="P438" s="1"/>
      <c r="Q438" s="1"/>
      <c r="R438" s="1"/>
      <c r="S438" s="1"/>
    </row>
    <row r="439" spans="1:19" ht="14.25" customHeight="1" x14ac:dyDescent="0.25">
      <c r="A439" s="28" t="s">
        <v>586</v>
      </c>
      <c r="B439" s="182" t="s">
        <v>13</v>
      </c>
      <c r="C439" s="371" t="s">
        <v>428</v>
      </c>
      <c r="D439" s="65" t="s">
        <v>14</v>
      </c>
      <c r="E439" s="65">
        <v>159</v>
      </c>
      <c r="F439" s="29">
        <v>0</v>
      </c>
      <c r="G439" s="15"/>
      <c r="H439" s="29">
        <f>E439*F439</f>
        <v>0</v>
      </c>
      <c r="I439" s="15"/>
      <c r="J439" s="1"/>
      <c r="K439" s="1">
        <f>0.1*E439</f>
        <v>15.9</v>
      </c>
      <c r="P439" s="1"/>
      <c r="Q439" s="1"/>
      <c r="R439" s="1"/>
      <c r="S439" s="1"/>
    </row>
    <row r="440" spans="1:19" ht="40.5" customHeight="1" x14ac:dyDescent="0.25">
      <c r="A440" s="25" t="s">
        <v>85</v>
      </c>
      <c r="B440" s="201" t="s">
        <v>9</v>
      </c>
      <c r="C440" s="159" t="s">
        <v>136</v>
      </c>
      <c r="D440" s="69" t="s">
        <v>53</v>
      </c>
      <c r="E440" s="69">
        <v>99.54</v>
      </c>
      <c r="F440" s="27"/>
      <c r="G440" s="54">
        <v>0</v>
      </c>
      <c r="H440" s="27"/>
      <c r="I440" s="54">
        <f>E440*G440</f>
        <v>0</v>
      </c>
      <c r="J440" s="1"/>
      <c r="K440" s="1">
        <f>K442+K443+K444</f>
        <v>99.54</v>
      </c>
      <c r="P440" s="1"/>
      <c r="Q440" s="1"/>
      <c r="R440" s="1"/>
      <c r="S440" s="1"/>
    </row>
    <row r="441" spans="1:19" ht="14.25" customHeight="1" x14ac:dyDescent="0.25">
      <c r="A441" s="28" t="s">
        <v>86</v>
      </c>
      <c r="B441" s="182" t="s">
        <v>13</v>
      </c>
      <c r="C441" s="67" t="s">
        <v>54</v>
      </c>
      <c r="D441" s="65" t="s">
        <v>38</v>
      </c>
      <c r="E441" s="66">
        <f>0.606*E440</f>
        <v>60.32</v>
      </c>
      <c r="F441" s="29">
        <v>0</v>
      </c>
      <c r="G441" s="15"/>
      <c r="H441" s="29">
        <f>E441*F441</f>
        <v>0</v>
      </c>
      <c r="I441" s="15"/>
      <c r="J441" s="1"/>
      <c r="K441" s="1"/>
      <c r="P441" s="1"/>
      <c r="Q441" s="1"/>
      <c r="R441" s="1"/>
      <c r="S441" s="1"/>
    </row>
    <row r="442" spans="1:19" ht="18.75" customHeight="1" x14ac:dyDescent="0.25">
      <c r="A442" s="28" t="s">
        <v>384</v>
      </c>
      <c r="B442" s="182" t="s">
        <v>13</v>
      </c>
      <c r="C442" s="67" t="s">
        <v>138</v>
      </c>
      <c r="D442" s="65" t="s">
        <v>57</v>
      </c>
      <c r="E442" s="65">
        <v>253.3</v>
      </c>
      <c r="F442" s="29">
        <v>0</v>
      </c>
      <c r="G442" s="15"/>
      <c r="H442" s="29">
        <f>E442*F442</f>
        <v>0</v>
      </c>
      <c r="I442" s="15"/>
      <c r="J442" s="1"/>
      <c r="K442" s="1">
        <v>79.58</v>
      </c>
      <c r="P442" s="1"/>
      <c r="Q442" s="1"/>
      <c r="R442" s="1"/>
      <c r="S442" s="1"/>
    </row>
    <row r="443" spans="1:19" ht="14.25" customHeight="1" x14ac:dyDescent="0.25">
      <c r="A443" s="28" t="s">
        <v>387</v>
      </c>
      <c r="B443" s="182" t="s">
        <v>13</v>
      </c>
      <c r="C443" s="67" t="s">
        <v>141</v>
      </c>
      <c r="D443" s="65" t="s">
        <v>14</v>
      </c>
      <c r="E443" s="65">
        <v>142</v>
      </c>
      <c r="F443" s="29">
        <v>0</v>
      </c>
      <c r="G443" s="15"/>
      <c r="H443" s="29">
        <f>E443*F443</f>
        <v>0</v>
      </c>
      <c r="I443" s="15"/>
      <c r="J443" s="1"/>
      <c r="K443" s="1">
        <f>0.03*E443</f>
        <v>4.26</v>
      </c>
      <c r="P443" s="1"/>
      <c r="Q443" s="1"/>
      <c r="R443" s="1"/>
      <c r="S443" s="1"/>
    </row>
    <row r="444" spans="1:19" ht="14.25" customHeight="1" x14ac:dyDescent="0.25">
      <c r="A444" s="28" t="s">
        <v>386</v>
      </c>
      <c r="B444" s="182" t="s">
        <v>13</v>
      </c>
      <c r="C444" s="67" t="s">
        <v>142</v>
      </c>
      <c r="D444" s="65" t="s">
        <v>14</v>
      </c>
      <c r="E444" s="65">
        <v>157</v>
      </c>
      <c r="F444" s="29">
        <v>0</v>
      </c>
      <c r="G444" s="15"/>
      <c r="H444" s="29">
        <f>E444*F444</f>
        <v>0</v>
      </c>
      <c r="I444" s="15"/>
      <c r="J444" s="1"/>
      <c r="K444" s="1">
        <f>0.1*E444</f>
        <v>15.7</v>
      </c>
      <c r="P444" s="1"/>
      <c r="Q444" s="1"/>
      <c r="R444" s="1"/>
      <c r="S444" s="1"/>
    </row>
    <row r="445" spans="1:19" ht="14.25" customHeight="1" x14ac:dyDescent="0.25">
      <c r="A445" s="28" t="s">
        <v>388</v>
      </c>
      <c r="B445" s="182" t="s">
        <v>13</v>
      </c>
      <c r="C445" s="71" t="s">
        <v>139</v>
      </c>
      <c r="D445" s="20" t="s">
        <v>14</v>
      </c>
      <c r="E445" s="20">
        <v>142</v>
      </c>
      <c r="F445" s="29">
        <v>0</v>
      </c>
      <c r="G445" s="15"/>
      <c r="H445" s="29">
        <f>E445*F445</f>
        <v>0</v>
      </c>
      <c r="I445" s="15"/>
      <c r="J445" s="1"/>
      <c r="K445" s="1"/>
      <c r="P445" s="1"/>
      <c r="Q445" s="1"/>
      <c r="R445" s="1"/>
      <c r="S445" s="1"/>
    </row>
    <row r="446" spans="1:19" ht="45" customHeight="1" x14ac:dyDescent="0.25">
      <c r="A446" s="25" t="s">
        <v>87</v>
      </c>
      <c r="B446" s="209" t="s">
        <v>9</v>
      </c>
      <c r="C446" s="160" t="s">
        <v>140</v>
      </c>
      <c r="D446" s="19" t="s">
        <v>53</v>
      </c>
      <c r="E446" s="19">
        <v>108.13</v>
      </c>
      <c r="F446" s="27"/>
      <c r="G446" s="54">
        <v>0</v>
      </c>
      <c r="H446" s="27"/>
      <c r="I446" s="54">
        <f>E446*G446</f>
        <v>0</v>
      </c>
      <c r="J446" s="1"/>
      <c r="K446" s="1">
        <f>K448+K449+K450+K451+K452</f>
        <v>108.13</v>
      </c>
      <c r="P446" s="1"/>
      <c r="Q446" s="1"/>
      <c r="R446" s="1"/>
      <c r="S446" s="1"/>
    </row>
    <row r="447" spans="1:19" ht="14.25" customHeight="1" x14ac:dyDescent="0.25">
      <c r="A447" s="28" t="s">
        <v>88</v>
      </c>
      <c r="B447" s="182" t="s">
        <v>13</v>
      </c>
      <c r="C447" s="161" t="s">
        <v>149</v>
      </c>
      <c r="D447" s="20" t="s">
        <v>38</v>
      </c>
      <c r="E447" s="70">
        <f>0.712*E446</f>
        <v>76.989999999999995</v>
      </c>
      <c r="F447" s="29">
        <v>0</v>
      </c>
      <c r="G447" s="15"/>
      <c r="H447" s="29">
        <f t="shared" ref="H447:H452" si="35">E447*F447</f>
        <v>0</v>
      </c>
      <c r="I447" s="15"/>
      <c r="J447" s="1"/>
      <c r="K447" s="1"/>
      <c r="P447" s="1"/>
      <c r="Q447" s="1"/>
      <c r="R447" s="1"/>
      <c r="S447" s="1"/>
    </row>
    <row r="448" spans="1:19" x14ac:dyDescent="0.25">
      <c r="A448" s="28" t="s">
        <v>89</v>
      </c>
      <c r="B448" s="182" t="s">
        <v>13</v>
      </c>
      <c r="C448" s="161" t="s">
        <v>143</v>
      </c>
      <c r="D448" s="20" t="s">
        <v>57</v>
      </c>
      <c r="E448" s="20">
        <v>0.4</v>
      </c>
      <c r="F448" s="29">
        <v>0</v>
      </c>
      <c r="G448" s="15"/>
      <c r="H448" s="29">
        <f t="shared" si="35"/>
        <v>0</v>
      </c>
      <c r="I448" s="15"/>
      <c r="J448" s="1"/>
      <c r="K448" s="1">
        <f>0.8*E448</f>
        <v>0.32</v>
      </c>
      <c r="P448" s="1"/>
      <c r="Q448" s="1"/>
      <c r="R448" s="1"/>
      <c r="S448" s="1"/>
    </row>
    <row r="449" spans="1:19" x14ac:dyDescent="0.25">
      <c r="A449" s="28" t="s">
        <v>90</v>
      </c>
      <c r="B449" s="182" t="s">
        <v>13</v>
      </c>
      <c r="C449" s="161" t="s">
        <v>144</v>
      </c>
      <c r="D449" s="20" t="s">
        <v>57</v>
      </c>
      <c r="E449" s="20">
        <v>132.69999999999999</v>
      </c>
      <c r="F449" s="29">
        <v>0</v>
      </c>
      <c r="G449" s="15"/>
      <c r="H449" s="29">
        <f t="shared" si="35"/>
        <v>0</v>
      </c>
      <c r="I449" s="15"/>
      <c r="J449" s="1"/>
      <c r="K449" s="1">
        <f>0.8*E449</f>
        <v>106.16</v>
      </c>
      <c r="P449" s="1"/>
      <c r="Q449" s="1"/>
      <c r="R449" s="1"/>
      <c r="S449" s="1"/>
    </row>
    <row r="450" spans="1:19" ht="14.25" customHeight="1" x14ac:dyDescent="0.25">
      <c r="A450" s="28" t="s">
        <v>390</v>
      </c>
      <c r="B450" s="182" t="s">
        <v>13</v>
      </c>
      <c r="C450" s="161" t="s">
        <v>145</v>
      </c>
      <c r="D450" s="20" t="s">
        <v>14</v>
      </c>
      <c r="E450" s="20">
        <v>3</v>
      </c>
      <c r="F450" s="29">
        <v>0</v>
      </c>
      <c r="G450" s="15"/>
      <c r="H450" s="29">
        <f t="shared" si="35"/>
        <v>0</v>
      </c>
      <c r="I450" s="15"/>
      <c r="J450" s="1"/>
      <c r="K450" s="1">
        <f>0.08*E450</f>
        <v>0.24</v>
      </c>
      <c r="P450" s="1"/>
      <c r="Q450" s="1"/>
      <c r="R450" s="1"/>
      <c r="S450" s="1"/>
    </row>
    <row r="451" spans="1:19" ht="14.25" customHeight="1" x14ac:dyDescent="0.25">
      <c r="A451" s="28" t="s">
        <v>391</v>
      </c>
      <c r="B451" s="182" t="s">
        <v>13</v>
      </c>
      <c r="C451" s="161" t="s">
        <v>155</v>
      </c>
      <c r="D451" s="20" t="s">
        <v>14</v>
      </c>
      <c r="E451" s="20">
        <v>3</v>
      </c>
      <c r="F451" s="29">
        <v>0</v>
      </c>
      <c r="G451" s="15"/>
      <c r="H451" s="29">
        <f t="shared" si="35"/>
        <v>0</v>
      </c>
      <c r="I451" s="15"/>
      <c r="J451" s="1"/>
      <c r="K451" s="1">
        <f>0.08*E451</f>
        <v>0.24</v>
      </c>
      <c r="P451" s="1"/>
      <c r="Q451" s="1"/>
      <c r="R451" s="1"/>
      <c r="S451" s="1"/>
    </row>
    <row r="452" spans="1:19" ht="35.25" customHeight="1" x14ac:dyDescent="0.25">
      <c r="A452" s="28" t="s">
        <v>392</v>
      </c>
      <c r="B452" s="182" t="s">
        <v>13</v>
      </c>
      <c r="C452" s="161" t="s">
        <v>148</v>
      </c>
      <c r="D452" s="20" t="s">
        <v>14</v>
      </c>
      <c r="E452" s="20">
        <v>3</v>
      </c>
      <c r="F452" s="29">
        <v>0</v>
      </c>
      <c r="G452" s="15"/>
      <c r="H452" s="29">
        <f t="shared" si="35"/>
        <v>0</v>
      </c>
      <c r="I452" s="15"/>
      <c r="J452" s="1"/>
      <c r="K452" s="1">
        <f>0.39*E452</f>
        <v>1.17</v>
      </c>
      <c r="P452" s="1"/>
      <c r="Q452" s="1"/>
      <c r="R452" s="1"/>
      <c r="S452" s="1"/>
    </row>
    <row r="453" spans="1:19" ht="52.5" customHeight="1" x14ac:dyDescent="0.25">
      <c r="A453" s="25" t="s">
        <v>91</v>
      </c>
      <c r="B453" s="201" t="s">
        <v>9</v>
      </c>
      <c r="C453" s="159" t="s">
        <v>150</v>
      </c>
      <c r="D453" s="19" t="s">
        <v>53</v>
      </c>
      <c r="E453" s="19">
        <v>322.23</v>
      </c>
      <c r="F453" s="27"/>
      <c r="G453" s="54">
        <v>0</v>
      </c>
      <c r="H453" s="27"/>
      <c r="I453" s="54">
        <f>E453*G453</f>
        <v>0</v>
      </c>
      <c r="J453" s="1"/>
      <c r="K453" s="1">
        <f>SUM(K455:K471)</f>
        <v>321.18</v>
      </c>
      <c r="P453" s="1"/>
      <c r="Q453" s="1"/>
      <c r="R453" s="1"/>
      <c r="S453" s="1"/>
    </row>
    <row r="454" spans="1:19" ht="14.25" customHeight="1" x14ac:dyDescent="0.25">
      <c r="A454" s="28" t="s">
        <v>92</v>
      </c>
      <c r="B454" s="182" t="s">
        <v>13</v>
      </c>
      <c r="C454" s="71" t="s">
        <v>54</v>
      </c>
      <c r="D454" s="20" t="s">
        <v>38</v>
      </c>
      <c r="E454" s="70">
        <f>1.22*E453</f>
        <v>393.12</v>
      </c>
      <c r="F454" s="29">
        <v>0</v>
      </c>
      <c r="G454" s="15"/>
      <c r="H454" s="29">
        <f t="shared" ref="H454:H471" si="36">E454*F454</f>
        <v>0</v>
      </c>
      <c r="I454" s="15"/>
      <c r="J454" s="1"/>
      <c r="K454" s="1"/>
      <c r="P454" s="1"/>
      <c r="Q454" s="1"/>
      <c r="R454" s="1"/>
      <c r="S454" s="1"/>
    </row>
    <row r="455" spans="1:19" ht="27.75" customHeight="1" x14ac:dyDescent="0.25">
      <c r="A455" s="28" t="s">
        <v>93</v>
      </c>
      <c r="B455" s="182" t="s">
        <v>13</v>
      </c>
      <c r="C455" s="71" t="s">
        <v>151</v>
      </c>
      <c r="D455" s="20" t="s">
        <v>57</v>
      </c>
      <c r="E455" s="20">
        <v>87.5</v>
      </c>
      <c r="F455" s="29">
        <v>0</v>
      </c>
      <c r="G455" s="15"/>
      <c r="H455" s="29">
        <f t="shared" si="36"/>
        <v>0</v>
      </c>
      <c r="I455" s="15"/>
      <c r="J455" s="1"/>
      <c r="K455" s="1">
        <f>1.3*E455</f>
        <v>113.75</v>
      </c>
      <c r="P455" s="1"/>
      <c r="Q455" s="1"/>
      <c r="R455" s="1"/>
      <c r="S455" s="1"/>
    </row>
    <row r="456" spans="1:19" x14ac:dyDescent="0.25">
      <c r="A456" s="28" t="s">
        <v>94</v>
      </c>
      <c r="B456" s="182" t="s">
        <v>13</v>
      </c>
      <c r="C456" s="71" t="s">
        <v>179</v>
      </c>
      <c r="D456" s="20" t="s">
        <v>57</v>
      </c>
      <c r="E456" s="20">
        <v>45.2</v>
      </c>
      <c r="F456" s="29">
        <v>0</v>
      </c>
      <c r="G456" s="15"/>
      <c r="H456" s="29">
        <f t="shared" si="36"/>
        <v>0</v>
      </c>
      <c r="I456" s="15"/>
      <c r="J456" s="1"/>
      <c r="K456" s="1">
        <f>1.3*E456</f>
        <v>58.76</v>
      </c>
      <c r="P456" s="1"/>
      <c r="Q456" s="1"/>
      <c r="R456" s="1"/>
      <c r="S456" s="1"/>
    </row>
    <row r="457" spans="1:19" x14ac:dyDescent="0.25">
      <c r="A457" s="28" t="s">
        <v>398</v>
      </c>
      <c r="B457" s="182" t="s">
        <v>13</v>
      </c>
      <c r="C457" s="71" t="s">
        <v>312</v>
      </c>
      <c r="D457" s="20" t="s">
        <v>57</v>
      </c>
      <c r="E457" s="20">
        <v>1</v>
      </c>
      <c r="F457" s="29">
        <v>0</v>
      </c>
      <c r="G457" s="15"/>
      <c r="H457" s="29">
        <f t="shared" si="36"/>
        <v>0</v>
      </c>
      <c r="I457" s="15"/>
      <c r="J457" s="1"/>
      <c r="K457" s="1">
        <f>1.1*E457</f>
        <v>1.1000000000000001</v>
      </c>
      <c r="P457" s="1"/>
      <c r="Q457" s="1"/>
      <c r="R457" s="1"/>
      <c r="S457" s="1"/>
    </row>
    <row r="458" spans="1:19" ht="14.25" customHeight="1" x14ac:dyDescent="0.25">
      <c r="A458" s="28" t="s">
        <v>399</v>
      </c>
      <c r="B458" s="182" t="s">
        <v>13</v>
      </c>
      <c r="C458" s="71" t="s">
        <v>153</v>
      </c>
      <c r="D458" s="20" t="s">
        <v>57</v>
      </c>
      <c r="E458" s="20">
        <v>2.4</v>
      </c>
      <c r="F458" s="29">
        <v>0</v>
      </c>
      <c r="G458" s="15"/>
      <c r="H458" s="29">
        <f t="shared" si="36"/>
        <v>0</v>
      </c>
      <c r="I458" s="15"/>
      <c r="J458" s="1"/>
      <c r="K458" s="1">
        <f>1.3*E458</f>
        <v>3.12</v>
      </c>
      <c r="P458" s="1"/>
      <c r="Q458" s="1"/>
      <c r="R458" s="1"/>
      <c r="S458" s="1"/>
    </row>
    <row r="459" spans="1:19" ht="14.25" customHeight="1" x14ac:dyDescent="0.25">
      <c r="A459" s="28" t="s">
        <v>400</v>
      </c>
      <c r="B459" s="182" t="s">
        <v>13</v>
      </c>
      <c r="C459" s="71" t="s">
        <v>578</v>
      </c>
      <c r="D459" s="20" t="s">
        <v>57</v>
      </c>
      <c r="E459" s="20">
        <v>1</v>
      </c>
      <c r="F459" s="29">
        <v>0</v>
      </c>
      <c r="G459" s="15"/>
      <c r="H459" s="29">
        <f t="shared" si="36"/>
        <v>0</v>
      </c>
      <c r="I459" s="15"/>
      <c r="J459" s="1"/>
      <c r="K459" s="1">
        <f>1.5*E459</f>
        <v>1.5</v>
      </c>
      <c r="P459" s="1"/>
      <c r="Q459" s="1"/>
      <c r="R459" s="1"/>
      <c r="S459" s="1"/>
    </row>
    <row r="460" spans="1:19" ht="14.25" customHeight="1" x14ac:dyDescent="0.25">
      <c r="A460" s="28" t="s">
        <v>401</v>
      </c>
      <c r="B460" s="182" t="s">
        <v>13</v>
      </c>
      <c r="C460" s="71" t="s">
        <v>577</v>
      </c>
      <c r="D460" s="20" t="s">
        <v>57</v>
      </c>
      <c r="E460" s="20">
        <v>90.5</v>
      </c>
      <c r="F460" s="29">
        <v>0</v>
      </c>
      <c r="G460" s="15"/>
      <c r="H460" s="29">
        <f t="shared" si="36"/>
        <v>0</v>
      </c>
      <c r="I460" s="15"/>
      <c r="J460" s="1"/>
      <c r="K460" s="1">
        <f>1.5*E460</f>
        <v>135.75</v>
      </c>
      <c r="P460" s="1"/>
      <c r="Q460" s="1"/>
      <c r="R460" s="1"/>
      <c r="S460" s="1"/>
    </row>
    <row r="461" spans="1:19" ht="14.25" customHeight="1" x14ac:dyDescent="0.25">
      <c r="A461" s="28" t="s">
        <v>420</v>
      </c>
      <c r="B461" s="182" t="s">
        <v>13</v>
      </c>
      <c r="C461" s="71" t="s">
        <v>182</v>
      </c>
      <c r="D461" s="20" t="s">
        <v>14</v>
      </c>
      <c r="E461" s="20">
        <v>1</v>
      </c>
      <c r="F461" s="29">
        <v>0</v>
      </c>
      <c r="G461" s="15"/>
      <c r="H461" s="29">
        <f t="shared" si="36"/>
        <v>0</v>
      </c>
      <c r="I461" s="15"/>
      <c r="J461" s="1"/>
      <c r="K461" s="1">
        <f>0.25*E461</f>
        <v>0.25</v>
      </c>
      <c r="P461" s="1"/>
      <c r="Q461" s="1"/>
      <c r="R461" s="1"/>
      <c r="S461" s="1"/>
    </row>
    <row r="462" spans="1:19" ht="14.25" customHeight="1" x14ac:dyDescent="0.25">
      <c r="A462" s="28" t="s">
        <v>421</v>
      </c>
      <c r="B462" s="182"/>
      <c r="C462" s="71" t="s">
        <v>579</v>
      </c>
      <c r="D462" s="20" t="s">
        <v>14</v>
      </c>
      <c r="E462" s="20">
        <v>1</v>
      </c>
      <c r="F462" s="29">
        <v>0</v>
      </c>
      <c r="G462" s="15"/>
      <c r="H462" s="29">
        <f t="shared" si="36"/>
        <v>0</v>
      </c>
      <c r="I462" s="15"/>
      <c r="J462" s="1"/>
      <c r="K462" s="1">
        <f>0.68*E462</f>
        <v>0.68</v>
      </c>
      <c r="P462" s="1"/>
      <c r="Q462" s="1"/>
      <c r="R462" s="1"/>
      <c r="S462" s="1"/>
    </row>
    <row r="463" spans="1:19" ht="14.25" customHeight="1" x14ac:dyDescent="0.25">
      <c r="A463" s="28" t="s">
        <v>422</v>
      </c>
      <c r="B463" s="182" t="s">
        <v>13</v>
      </c>
      <c r="C463" s="71" t="s">
        <v>158</v>
      </c>
      <c r="D463" s="20" t="s">
        <v>14</v>
      </c>
      <c r="E463" s="20">
        <v>1</v>
      </c>
      <c r="F463" s="29">
        <v>0</v>
      </c>
      <c r="G463" s="15"/>
      <c r="H463" s="29">
        <f t="shared" si="36"/>
        <v>0</v>
      </c>
      <c r="I463" s="15"/>
      <c r="J463" s="1"/>
      <c r="K463" s="1">
        <f>0.46*E463</f>
        <v>0.46</v>
      </c>
      <c r="P463" s="1"/>
      <c r="Q463" s="1"/>
      <c r="R463" s="1"/>
      <c r="S463" s="1"/>
    </row>
    <row r="464" spans="1:19" ht="14.25" customHeight="1" x14ac:dyDescent="0.25">
      <c r="A464" s="28" t="s">
        <v>423</v>
      </c>
      <c r="B464" s="182" t="s">
        <v>13</v>
      </c>
      <c r="C464" s="71" t="s">
        <v>580</v>
      </c>
      <c r="D464" s="20" t="s">
        <v>14</v>
      </c>
      <c r="E464" s="20">
        <v>2</v>
      </c>
      <c r="F464" s="29">
        <v>0</v>
      </c>
      <c r="G464" s="15"/>
      <c r="H464" s="29">
        <f t="shared" si="36"/>
        <v>0</v>
      </c>
      <c r="I464" s="15"/>
      <c r="J464" s="1"/>
      <c r="K464" s="1">
        <f>0.17*2</f>
        <v>0.34</v>
      </c>
      <c r="P464" s="1"/>
      <c r="Q464" s="1"/>
      <c r="R464" s="1"/>
      <c r="S464" s="1"/>
    </row>
    <row r="465" spans="1:19" ht="14.25" customHeight="1" x14ac:dyDescent="0.25">
      <c r="A465" s="28" t="s">
        <v>424</v>
      </c>
      <c r="B465" s="182" t="s">
        <v>13</v>
      </c>
      <c r="C465" s="71" t="s">
        <v>314</v>
      </c>
      <c r="D465" s="20" t="s">
        <v>14</v>
      </c>
      <c r="E465" s="20">
        <v>2</v>
      </c>
      <c r="F465" s="29">
        <v>0</v>
      </c>
      <c r="G465" s="15"/>
      <c r="H465" s="29">
        <f t="shared" si="36"/>
        <v>0</v>
      </c>
      <c r="I465" s="15"/>
      <c r="J465" s="1"/>
      <c r="K465" s="1">
        <f>0.17*E465</f>
        <v>0.34</v>
      </c>
      <c r="P465" s="1"/>
      <c r="Q465" s="1"/>
      <c r="R465" s="1"/>
      <c r="S465" s="1"/>
    </row>
    <row r="466" spans="1:19" ht="14.25" customHeight="1" x14ac:dyDescent="0.25">
      <c r="A466" s="28" t="s">
        <v>425</v>
      </c>
      <c r="B466" s="182" t="s">
        <v>13</v>
      </c>
      <c r="C466" s="71" t="s">
        <v>183</v>
      </c>
      <c r="D466" s="20" t="s">
        <v>14</v>
      </c>
      <c r="E466" s="20">
        <v>1</v>
      </c>
      <c r="F466" s="29">
        <v>0</v>
      </c>
      <c r="G466" s="15"/>
      <c r="H466" s="29">
        <f t="shared" si="36"/>
        <v>0</v>
      </c>
      <c r="I466" s="15"/>
      <c r="J466" s="1"/>
      <c r="K466" s="1">
        <f>0.13*E466</f>
        <v>0.13</v>
      </c>
      <c r="P466" s="1"/>
      <c r="Q466" s="1"/>
      <c r="R466" s="1"/>
      <c r="S466" s="1"/>
    </row>
    <row r="467" spans="1:19" ht="14.25" customHeight="1" x14ac:dyDescent="0.25">
      <c r="A467" s="28" t="s">
        <v>485</v>
      </c>
      <c r="B467" s="182" t="s">
        <v>13</v>
      </c>
      <c r="C467" s="71" t="s">
        <v>582</v>
      </c>
      <c r="D467" s="20" t="s">
        <v>14</v>
      </c>
      <c r="E467" s="20">
        <v>2</v>
      </c>
      <c r="F467" s="29">
        <v>0</v>
      </c>
      <c r="G467" s="15"/>
      <c r="H467" s="29">
        <f t="shared" si="36"/>
        <v>0</v>
      </c>
      <c r="I467" s="15"/>
      <c r="J467" s="1"/>
      <c r="K467" s="1">
        <f>0.62*E467</f>
        <v>1.24</v>
      </c>
      <c r="P467" s="1"/>
      <c r="Q467" s="1"/>
      <c r="R467" s="1"/>
      <c r="S467" s="1"/>
    </row>
    <row r="468" spans="1:19" ht="14.25" customHeight="1" x14ac:dyDescent="0.25">
      <c r="A468" s="28" t="s">
        <v>589</v>
      </c>
      <c r="B468" s="182" t="s">
        <v>13</v>
      </c>
      <c r="C468" s="71" t="s">
        <v>184</v>
      </c>
      <c r="D468" s="20" t="s">
        <v>14</v>
      </c>
      <c r="E468" s="20">
        <v>1</v>
      </c>
      <c r="F468" s="29">
        <v>0</v>
      </c>
      <c r="G468" s="15"/>
      <c r="H468" s="29">
        <f t="shared" si="36"/>
        <v>0</v>
      </c>
      <c r="I468" s="15"/>
      <c r="J468" s="1"/>
      <c r="K468" s="1">
        <f>0.54*E468</f>
        <v>0.54</v>
      </c>
      <c r="P468" s="1"/>
      <c r="Q468" s="1"/>
      <c r="R468" s="1"/>
      <c r="S468" s="1"/>
    </row>
    <row r="469" spans="1:19" ht="14.25" customHeight="1" x14ac:dyDescent="0.25">
      <c r="A469" s="28" t="s">
        <v>590</v>
      </c>
      <c r="B469" s="182"/>
      <c r="C469" s="71" t="s">
        <v>304</v>
      </c>
      <c r="D469" s="20" t="s">
        <v>14</v>
      </c>
      <c r="E469" s="20">
        <v>1</v>
      </c>
      <c r="F469" s="29">
        <v>0</v>
      </c>
      <c r="G469" s="15"/>
      <c r="H469" s="29">
        <f t="shared" si="36"/>
        <v>0</v>
      </c>
      <c r="I469" s="15"/>
      <c r="J469" s="1"/>
      <c r="K469" s="1">
        <f>0.79*E469</f>
        <v>0.79</v>
      </c>
      <c r="P469" s="1"/>
      <c r="Q469" s="1"/>
      <c r="R469" s="1"/>
      <c r="S469" s="1"/>
    </row>
    <row r="470" spans="1:19" ht="14.25" customHeight="1" x14ac:dyDescent="0.25">
      <c r="A470" s="28" t="s">
        <v>591</v>
      </c>
      <c r="B470" s="182" t="s">
        <v>13</v>
      </c>
      <c r="C470" s="71" t="s">
        <v>161</v>
      </c>
      <c r="D470" s="20" t="s">
        <v>14</v>
      </c>
      <c r="E470" s="20">
        <v>2</v>
      </c>
      <c r="F470" s="29">
        <v>0</v>
      </c>
      <c r="G470" s="15"/>
      <c r="H470" s="29">
        <f t="shared" si="36"/>
        <v>0</v>
      </c>
      <c r="I470" s="15"/>
      <c r="J470" s="1"/>
      <c r="K470" s="1">
        <f>0.64*E470</f>
        <v>1.28</v>
      </c>
      <c r="P470" s="1"/>
      <c r="Q470" s="1"/>
      <c r="R470" s="1"/>
      <c r="S470" s="1"/>
    </row>
    <row r="471" spans="1:19" ht="14.25" customHeight="1" x14ac:dyDescent="0.25">
      <c r="A471" s="28" t="s">
        <v>592</v>
      </c>
      <c r="B471" s="182"/>
      <c r="C471" s="11" t="s">
        <v>583</v>
      </c>
      <c r="D471" s="20"/>
      <c r="E471" s="20">
        <v>1</v>
      </c>
      <c r="F471" s="29">
        <v>0</v>
      </c>
      <c r="G471" s="94"/>
      <c r="H471" s="29">
        <f t="shared" si="36"/>
        <v>0</v>
      </c>
      <c r="I471" s="15"/>
      <c r="J471" s="1"/>
      <c r="K471" s="1">
        <f>1.15*E471</f>
        <v>1.1499999999999999</v>
      </c>
      <c r="P471" s="1"/>
      <c r="Q471" s="1"/>
      <c r="R471" s="1"/>
      <c r="S471" s="1"/>
    </row>
    <row r="472" spans="1:19" ht="50.25" customHeight="1" x14ac:dyDescent="0.25">
      <c r="A472" s="25" t="s">
        <v>95</v>
      </c>
      <c r="B472" s="201" t="s">
        <v>9</v>
      </c>
      <c r="C472" s="159" t="s">
        <v>163</v>
      </c>
      <c r="D472" s="19" t="s">
        <v>53</v>
      </c>
      <c r="E472" s="19">
        <v>21.85</v>
      </c>
      <c r="F472" s="27"/>
      <c r="G472" s="54">
        <v>0</v>
      </c>
      <c r="H472" s="27"/>
      <c r="I472" s="54">
        <f>E472*G472</f>
        <v>0</v>
      </c>
      <c r="J472" s="1"/>
      <c r="K472" s="1">
        <f>K474+K475+K476+K477+K478+K479+K480</f>
        <v>21.85</v>
      </c>
      <c r="P472" s="1"/>
      <c r="Q472" s="1"/>
      <c r="R472" s="1"/>
      <c r="S472" s="1"/>
    </row>
    <row r="473" spans="1:19" ht="14.25" customHeight="1" x14ac:dyDescent="0.25">
      <c r="A473" s="28" t="s">
        <v>96</v>
      </c>
      <c r="B473" s="210" t="s">
        <v>13</v>
      </c>
      <c r="C473" s="71" t="s">
        <v>54</v>
      </c>
      <c r="D473" s="20" t="s">
        <v>38</v>
      </c>
      <c r="E473" s="70">
        <f>2.25*E472</f>
        <v>49.16</v>
      </c>
      <c r="F473" s="29">
        <v>0</v>
      </c>
      <c r="G473" s="15"/>
      <c r="H473" s="29">
        <f>F473*E473</f>
        <v>0</v>
      </c>
      <c r="I473" s="15"/>
      <c r="J473" s="1"/>
      <c r="K473" s="1"/>
      <c r="P473" s="1"/>
      <c r="Q473" s="1"/>
      <c r="R473" s="1"/>
      <c r="S473" s="1"/>
    </row>
    <row r="474" spans="1:19" ht="14.25" customHeight="1" x14ac:dyDescent="0.25">
      <c r="A474" s="28" t="s">
        <v>97</v>
      </c>
      <c r="B474" s="210" t="s">
        <v>13</v>
      </c>
      <c r="C474" s="71" t="s">
        <v>305</v>
      </c>
      <c r="D474" s="20" t="s">
        <v>57</v>
      </c>
      <c r="E474" s="70">
        <v>9</v>
      </c>
      <c r="F474" s="29">
        <v>0</v>
      </c>
      <c r="G474" s="15"/>
      <c r="H474" s="29">
        <f>E474*F474</f>
        <v>0</v>
      </c>
      <c r="I474" s="15"/>
      <c r="J474" s="1"/>
      <c r="K474" s="1">
        <f>1.8*E474</f>
        <v>16.2</v>
      </c>
      <c r="P474" s="1"/>
      <c r="Q474" s="1"/>
      <c r="R474" s="1"/>
      <c r="S474" s="1"/>
    </row>
    <row r="475" spans="1:19" ht="14.25" customHeight="1" x14ac:dyDescent="0.25">
      <c r="A475" s="28" t="s">
        <v>404</v>
      </c>
      <c r="B475" s="182" t="s">
        <v>13</v>
      </c>
      <c r="C475" s="71" t="s">
        <v>165</v>
      </c>
      <c r="D475" s="20" t="s">
        <v>57</v>
      </c>
      <c r="E475" s="20">
        <v>0.9</v>
      </c>
      <c r="F475" s="29">
        <v>0</v>
      </c>
      <c r="G475" s="15"/>
      <c r="H475" s="29">
        <f t="shared" ref="H475:H480" si="37">F475*E475</f>
        <v>0</v>
      </c>
      <c r="I475" s="15"/>
      <c r="J475" s="1"/>
      <c r="K475" s="1">
        <f>2*E475</f>
        <v>1.8</v>
      </c>
      <c r="P475" s="1"/>
      <c r="Q475" s="1"/>
      <c r="R475" s="1"/>
      <c r="S475" s="1"/>
    </row>
    <row r="476" spans="1:19" ht="14.25" customHeight="1" x14ac:dyDescent="0.25">
      <c r="A476" s="28" t="s">
        <v>402</v>
      </c>
      <c r="B476" s="182" t="s">
        <v>13</v>
      </c>
      <c r="C476" s="71" t="s">
        <v>562</v>
      </c>
      <c r="D476" s="20" t="s">
        <v>14</v>
      </c>
      <c r="E476" s="20">
        <v>1</v>
      </c>
      <c r="F476" s="29">
        <v>0</v>
      </c>
      <c r="G476" s="15"/>
      <c r="H476" s="29">
        <f t="shared" si="37"/>
        <v>0</v>
      </c>
      <c r="I476" s="15"/>
      <c r="J476" s="1"/>
      <c r="K476" s="1">
        <f>1*0.77</f>
        <v>0.77</v>
      </c>
      <c r="P476" s="1"/>
      <c r="Q476" s="1"/>
      <c r="R476" s="1"/>
      <c r="S476" s="1"/>
    </row>
    <row r="477" spans="1:19" ht="14.25" customHeight="1" x14ac:dyDescent="0.25">
      <c r="A477" s="28" t="s">
        <v>403</v>
      </c>
      <c r="B477" s="182" t="s">
        <v>13</v>
      </c>
      <c r="C477" s="71" t="s">
        <v>563</v>
      </c>
      <c r="D477" s="20" t="s">
        <v>14</v>
      </c>
      <c r="E477" s="20">
        <v>1</v>
      </c>
      <c r="F477" s="29">
        <v>0</v>
      </c>
      <c r="G477" s="15"/>
      <c r="H477" s="29">
        <f t="shared" si="37"/>
        <v>0</v>
      </c>
      <c r="I477" s="15"/>
      <c r="J477" s="1"/>
      <c r="K477" s="1">
        <f>0.7*E477</f>
        <v>0.7</v>
      </c>
      <c r="P477" s="1"/>
      <c r="Q477" s="1"/>
      <c r="R477" s="1"/>
      <c r="S477" s="1"/>
    </row>
    <row r="478" spans="1:19" ht="14.25" customHeight="1" x14ac:dyDescent="0.25">
      <c r="A478" s="28" t="s">
        <v>426</v>
      </c>
      <c r="B478" s="182" t="s">
        <v>13</v>
      </c>
      <c r="C478" s="71" t="s">
        <v>581</v>
      </c>
      <c r="D478" s="20" t="s">
        <v>14</v>
      </c>
      <c r="E478" s="20">
        <v>1</v>
      </c>
      <c r="F478" s="29">
        <v>0</v>
      </c>
      <c r="G478" s="15"/>
      <c r="H478" s="29">
        <f t="shared" si="37"/>
        <v>0</v>
      </c>
      <c r="I478" s="15"/>
      <c r="J478" s="1"/>
      <c r="K478" s="1">
        <f>0.71*E478</f>
        <v>0.71</v>
      </c>
      <c r="P478" s="1"/>
      <c r="Q478" s="1"/>
      <c r="R478" s="1"/>
      <c r="S478" s="1"/>
    </row>
    <row r="479" spans="1:19" ht="14.25" customHeight="1" x14ac:dyDescent="0.25">
      <c r="A479" s="28" t="s">
        <v>489</v>
      </c>
      <c r="B479" s="182" t="s">
        <v>13</v>
      </c>
      <c r="C479" s="71" t="s">
        <v>587</v>
      </c>
      <c r="D479" s="20" t="s">
        <v>14</v>
      </c>
      <c r="E479" s="20">
        <v>1</v>
      </c>
      <c r="F479" s="29">
        <v>0</v>
      </c>
      <c r="G479" s="15"/>
      <c r="H479" s="29">
        <f t="shared" si="37"/>
        <v>0</v>
      </c>
      <c r="I479" s="15"/>
      <c r="J479" s="1"/>
      <c r="K479" s="1">
        <f>0.81*E479</f>
        <v>0.81</v>
      </c>
      <c r="P479" s="1"/>
      <c r="Q479" s="1"/>
      <c r="R479" s="1"/>
      <c r="S479" s="1"/>
    </row>
    <row r="480" spans="1:19" ht="14.25" customHeight="1" x14ac:dyDescent="0.25">
      <c r="A480" s="28" t="s">
        <v>490</v>
      </c>
      <c r="B480" s="182" t="s">
        <v>13</v>
      </c>
      <c r="C480" s="11" t="s">
        <v>588</v>
      </c>
      <c r="D480" s="20" t="s">
        <v>14</v>
      </c>
      <c r="E480" s="20">
        <v>1</v>
      </c>
      <c r="F480" s="29">
        <v>0</v>
      </c>
      <c r="G480" s="15"/>
      <c r="H480" s="29">
        <f t="shared" si="37"/>
        <v>0</v>
      </c>
      <c r="I480" s="15"/>
      <c r="J480" s="1"/>
      <c r="K480" s="1">
        <f>0.86*E480</f>
        <v>0.86</v>
      </c>
      <c r="P480" s="1"/>
      <c r="Q480" s="1"/>
      <c r="R480" s="1"/>
      <c r="S480" s="1"/>
    </row>
    <row r="481" spans="1:19" ht="48.75" customHeight="1" x14ac:dyDescent="0.25">
      <c r="A481" s="25" t="s">
        <v>98</v>
      </c>
      <c r="B481" s="201" t="s">
        <v>9</v>
      </c>
      <c r="C481" s="17" t="s">
        <v>167</v>
      </c>
      <c r="D481" s="19" t="s">
        <v>53</v>
      </c>
      <c r="E481" s="19">
        <v>11.74</v>
      </c>
      <c r="F481" s="29"/>
      <c r="G481" s="54">
        <v>0</v>
      </c>
      <c r="H481" s="29"/>
      <c r="I481" s="54">
        <f>E481*G481</f>
        <v>0</v>
      </c>
      <c r="J481" s="1"/>
      <c r="K481" s="1">
        <f>K483+K484+K485+K486+K487</f>
        <v>11.74</v>
      </c>
      <c r="P481" s="1"/>
      <c r="Q481" s="1"/>
      <c r="R481" s="1"/>
      <c r="S481" s="1"/>
    </row>
    <row r="482" spans="1:19" ht="14.25" customHeight="1" x14ac:dyDescent="0.25">
      <c r="A482" s="28" t="s">
        <v>99</v>
      </c>
      <c r="B482" s="182" t="s">
        <v>13</v>
      </c>
      <c r="C482" s="11" t="s">
        <v>54</v>
      </c>
      <c r="D482" s="20" t="s">
        <v>38</v>
      </c>
      <c r="E482" s="70">
        <f>2.25*E481</f>
        <v>26.42</v>
      </c>
      <c r="F482" s="29">
        <v>0</v>
      </c>
      <c r="G482" s="15"/>
      <c r="H482" s="29">
        <f t="shared" ref="H482:H487" si="38">E482*F482</f>
        <v>0</v>
      </c>
      <c r="I482" s="15"/>
      <c r="J482" s="1"/>
      <c r="K482" s="1"/>
      <c r="P482" s="1"/>
      <c r="Q482" s="1"/>
      <c r="R482" s="1"/>
      <c r="S482" s="1"/>
    </row>
    <row r="483" spans="1:19" ht="29.25" customHeight="1" x14ac:dyDescent="0.25">
      <c r="A483" s="28" t="s">
        <v>100</v>
      </c>
      <c r="B483" s="182" t="s">
        <v>13</v>
      </c>
      <c r="C483" s="11" t="s">
        <v>168</v>
      </c>
      <c r="D483" s="20" t="s">
        <v>57</v>
      </c>
      <c r="E483" s="20">
        <v>0.9</v>
      </c>
      <c r="F483" s="29">
        <v>0</v>
      </c>
      <c r="G483" s="15"/>
      <c r="H483" s="29">
        <f t="shared" si="38"/>
        <v>0</v>
      </c>
      <c r="I483" s="15"/>
      <c r="J483" s="1"/>
      <c r="K483" s="1">
        <f>2.8*E483</f>
        <v>2.52</v>
      </c>
      <c r="P483" s="1"/>
      <c r="Q483" s="1"/>
      <c r="R483" s="1"/>
      <c r="S483" s="1"/>
    </row>
    <row r="484" spans="1:19" ht="30.75" customHeight="1" x14ac:dyDescent="0.25">
      <c r="A484" s="28" t="s">
        <v>101</v>
      </c>
      <c r="B484" s="182" t="s">
        <v>13</v>
      </c>
      <c r="C484" s="11" t="s">
        <v>169</v>
      </c>
      <c r="D484" s="20" t="s">
        <v>57</v>
      </c>
      <c r="E484" s="20">
        <v>1.7</v>
      </c>
      <c r="F484" s="29">
        <v>0</v>
      </c>
      <c r="G484" s="15"/>
      <c r="H484" s="29">
        <f t="shared" si="38"/>
        <v>0</v>
      </c>
      <c r="I484" s="15"/>
      <c r="J484" s="1"/>
      <c r="K484" s="1">
        <f>2.8*E484</f>
        <v>4.76</v>
      </c>
      <c r="P484" s="1"/>
      <c r="Q484" s="1"/>
      <c r="R484" s="1"/>
      <c r="S484" s="1"/>
    </row>
    <row r="485" spans="1:19" x14ac:dyDescent="0.25">
      <c r="A485" s="28" t="s">
        <v>102</v>
      </c>
      <c r="B485" s="182" t="s">
        <v>13</v>
      </c>
      <c r="C485" s="11" t="s">
        <v>584</v>
      </c>
      <c r="D485" s="20" t="s">
        <v>14</v>
      </c>
      <c r="E485" s="20">
        <v>1</v>
      </c>
      <c r="F485" s="29">
        <v>0</v>
      </c>
      <c r="G485" s="15"/>
      <c r="H485" s="29">
        <f t="shared" si="38"/>
        <v>0</v>
      </c>
      <c r="I485" s="15"/>
      <c r="J485" s="1"/>
      <c r="K485" s="1">
        <f>2.15*E485</f>
        <v>2.15</v>
      </c>
      <c r="P485" s="1"/>
      <c r="Q485" s="1"/>
      <c r="R485" s="1"/>
      <c r="S485" s="1"/>
    </row>
    <row r="486" spans="1:19" ht="14.25" customHeight="1" x14ac:dyDescent="0.25">
      <c r="A486" s="28" t="s">
        <v>103</v>
      </c>
      <c r="B486" s="182" t="s">
        <v>13</v>
      </c>
      <c r="C486" s="11" t="s">
        <v>572</v>
      </c>
      <c r="D486" s="20" t="s">
        <v>14</v>
      </c>
      <c r="E486" s="20">
        <v>1</v>
      </c>
      <c r="F486" s="29">
        <v>0</v>
      </c>
      <c r="G486" s="15"/>
      <c r="H486" s="29">
        <f t="shared" si="38"/>
        <v>0</v>
      </c>
      <c r="I486" s="15"/>
      <c r="J486" s="1"/>
      <c r="K486" s="1">
        <f>1.69*E486</f>
        <v>1.69</v>
      </c>
      <c r="P486" s="1"/>
      <c r="Q486" s="1"/>
      <c r="R486" s="1"/>
      <c r="S486" s="1"/>
    </row>
    <row r="487" spans="1:19" ht="14.25" customHeight="1" x14ac:dyDescent="0.25">
      <c r="A487" s="28" t="s">
        <v>437</v>
      </c>
      <c r="B487" s="182" t="s">
        <v>13</v>
      </c>
      <c r="C487" s="71" t="s">
        <v>566</v>
      </c>
      <c r="D487" s="20" t="s">
        <v>14</v>
      </c>
      <c r="E487" s="20">
        <v>1</v>
      </c>
      <c r="F487" s="29">
        <v>0</v>
      </c>
      <c r="G487" s="15"/>
      <c r="H487" s="29">
        <f t="shared" si="38"/>
        <v>0</v>
      </c>
      <c r="I487" s="15"/>
      <c r="J487" s="1"/>
      <c r="K487" s="1">
        <f>0.62*E487</f>
        <v>0.62</v>
      </c>
      <c r="P487" s="1"/>
      <c r="Q487" s="1"/>
      <c r="R487" s="1"/>
      <c r="S487" s="1"/>
    </row>
    <row r="488" spans="1:19" ht="28.5" x14ac:dyDescent="0.25">
      <c r="A488" s="25" t="s">
        <v>104</v>
      </c>
      <c r="B488" s="201" t="s">
        <v>174</v>
      </c>
      <c r="C488" s="17" t="s">
        <v>47</v>
      </c>
      <c r="D488" s="19" t="s">
        <v>14</v>
      </c>
      <c r="E488" s="19">
        <v>8</v>
      </c>
      <c r="F488" s="27"/>
      <c r="G488" s="54">
        <v>0</v>
      </c>
      <c r="H488" s="27"/>
      <c r="I488" s="54">
        <f>E488*G488</f>
        <v>0</v>
      </c>
      <c r="J488" s="1"/>
      <c r="K488" s="1"/>
      <c r="P488" s="1"/>
      <c r="Q488" s="1"/>
      <c r="R488" s="1"/>
      <c r="S488" s="1"/>
    </row>
    <row r="489" spans="1:19" ht="38.25" customHeight="1" x14ac:dyDescent="0.25">
      <c r="A489" s="28" t="s">
        <v>133</v>
      </c>
      <c r="B489" s="182" t="s">
        <v>13</v>
      </c>
      <c r="C489" s="11" t="s">
        <v>171</v>
      </c>
      <c r="D489" s="20" t="s">
        <v>14</v>
      </c>
      <c r="E489" s="329">
        <v>3</v>
      </c>
      <c r="F489" s="29">
        <v>0</v>
      </c>
      <c r="G489" s="15"/>
      <c r="H489" s="29">
        <f>E489*F489</f>
        <v>0</v>
      </c>
      <c r="I489" s="15"/>
      <c r="J489" s="1"/>
      <c r="K489" s="1"/>
      <c r="P489" s="1"/>
      <c r="Q489" s="1"/>
      <c r="R489" s="1"/>
      <c r="S489" s="1"/>
    </row>
    <row r="490" spans="1:19" ht="27" customHeight="1" x14ac:dyDescent="0.25">
      <c r="A490" s="28" t="s">
        <v>128</v>
      </c>
      <c r="B490" s="182" t="s">
        <v>13</v>
      </c>
      <c r="C490" s="330" t="s">
        <v>189</v>
      </c>
      <c r="D490" s="331" t="s">
        <v>14</v>
      </c>
      <c r="E490" s="372">
        <v>1</v>
      </c>
      <c r="F490" s="29">
        <v>0</v>
      </c>
      <c r="G490" s="15"/>
      <c r="H490" s="333">
        <f>E490*F490</f>
        <v>0</v>
      </c>
      <c r="I490" s="334"/>
      <c r="J490" s="1"/>
      <c r="K490" s="1"/>
      <c r="P490" s="1"/>
      <c r="Q490" s="1"/>
      <c r="R490" s="1"/>
      <c r="S490" s="1"/>
    </row>
    <row r="491" spans="1:19" ht="27.75" customHeight="1" x14ac:dyDescent="0.25">
      <c r="A491" s="28" t="s">
        <v>129</v>
      </c>
      <c r="B491" s="182" t="s">
        <v>13</v>
      </c>
      <c r="C491" s="330" t="s">
        <v>172</v>
      </c>
      <c r="D491" s="331" t="s">
        <v>14</v>
      </c>
      <c r="E491" s="12">
        <v>2</v>
      </c>
      <c r="F491" s="29">
        <v>0</v>
      </c>
      <c r="G491" s="15"/>
      <c r="H491" s="29">
        <f>E491*F491</f>
        <v>0</v>
      </c>
      <c r="I491" s="15"/>
      <c r="J491" s="1"/>
      <c r="K491" s="1"/>
      <c r="P491" s="1"/>
      <c r="Q491" s="1"/>
      <c r="R491" s="1"/>
      <c r="S491" s="1"/>
    </row>
    <row r="492" spans="1:19" ht="27.75" customHeight="1" x14ac:dyDescent="0.25">
      <c r="A492" s="28" t="s">
        <v>130</v>
      </c>
      <c r="B492" s="182" t="s">
        <v>13</v>
      </c>
      <c r="C492" s="330" t="s">
        <v>576</v>
      </c>
      <c r="D492" s="331" t="s">
        <v>14</v>
      </c>
      <c r="E492" s="84">
        <v>2</v>
      </c>
      <c r="F492" s="336">
        <v>0</v>
      </c>
      <c r="G492" s="112"/>
      <c r="H492" s="29">
        <f>E492*F492</f>
        <v>0</v>
      </c>
      <c r="I492" s="15"/>
      <c r="J492" s="1"/>
      <c r="K492" s="1"/>
      <c r="P492" s="1"/>
      <c r="Q492" s="1"/>
      <c r="R492" s="1"/>
      <c r="S492" s="1"/>
    </row>
    <row r="493" spans="1:19" ht="25.5" customHeight="1" x14ac:dyDescent="0.25">
      <c r="A493" s="25" t="s">
        <v>106</v>
      </c>
      <c r="B493" s="209" t="s">
        <v>9</v>
      </c>
      <c r="C493" s="21" t="s">
        <v>126</v>
      </c>
      <c r="D493" s="19" t="s">
        <v>14</v>
      </c>
      <c r="E493" s="83">
        <v>79</v>
      </c>
      <c r="F493" s="132"/>
      <c r="G493" s="59">
        <v>0</v>
      </c>
      <c r="H493" s="27"/>
      <c r="I493" s="54">
        <f>E493*G493</f>
        <v>0</v>
      </c>
      <c r="J493" s="1"/>
      <c r="K493" s="1"/>
      <c r="P493" s="1"/>
      <c r="Q493" s="1"/>
      <c r="R493" s="1"/>
      <c r="S493" s="1"/>
    </row>
    <row r="494" spans="1:19" ht="14.25" customHeight="1" x14ac:dyDescent="0.25">
      <c r="A494" s="28" t="s">
        <v>105</v>
      </c>
      <c r="B494" s="182" t="s">
        <v>13</v>
      </c>
      <c r="C494" s="11" t="s">
        <v>176</v>
      </c>
      <c r="D494" s="20" t="s">
        <v>14</v>
      </c>
      <c r="E494" s="20">
        <v>79</v>
      </c>
      <c r="F494" s="29">
        <v>0</v>
      </c>
      <c r="G494" s="54"/>
      <c r="H494" s="333">
        <f t="shared" ref="H494:H496" si="39">E494*F494</f>
        <v>0</v>
      </c>
      <c r="I494" s="54"/>
      <c r="J494" s="1"/>
      <c r="K494" s="1"/>
      <c r="P494" s="1"/>
      <c r="Q494" s="1"/>
      <c r="R494" s="1"/>
      <c r="S494" s="1"/>
    </row>
    <row r="495" spans="1:19" ht="33.75" customHeight="1" x14ac:dyDescent="0.25">
      <c r="A495" s="302" t="s">
        <v>107</v>
      </c>
      <c r="B495" s="209" t="s">
        <v>9</v>
      </c>
      <c r="C495" s="17" t="s">
        <v>460</v>
      </c>
      <c r="D495" s="19" t="s">
        <v>14</v>
      </c>
      <c r="E495" s="19">
        <v>63</v>
      </c>
      <c r="F495" s="27"/>
      <c r="G495" s="54">
        <v>0</v>
      </c>
      <c r="H495" s="270"/>
      <c r="I495" s="54">
        <f>E495*G495</f>
        <v>0</v>
      </c>
      <c r="J495" s="1"/>
      <c r="K495" s="1"/>
      <c r="P495" s="1"/>
      <c r="Q495" s="1"/>
      <c r="R495" s="1"/>
      <c r="S495" s="1"/>
    </row>
    <row r="496" spans="1:19" ht="14.25" customHeight="1" x14ac:dyDescent="0.25">
      <c r="A496" s="117" t="s">
        <v>108</v>
      </c>
      <c r="B496" s="182" t="s">
        <v>13</v>
      </c>
      <c r="C496" s="11" t="s">
        <v>175</v>
      </c>
      <c r="D496" s="20" t="s">
        <v>14</v>
      </c>
      <c r="E496" s="20">
        <v>63</v>
      </c>
      <c r="F496" s="29">
        <v>0</v>
      </c>
      <c r="G496" s="15"/>
      <c r="H496" s="333">
        <f t="shared" si="39"/>
        <v>0</v>
      </c>
      <c r="I496" s="15"/>
      <c r="J496" s="1"/>
      <c r="K496" s="1"/>
      <c r="P496" s="1"/>
      <c r="Q496" s="1"/>
      <c r="R496" s="1"/>
      <c r="S496" s="1"/>
    </row>
    <row r="497" spans="1:19" ht="33.75" customHeight="1" x14ac:dyDescent="0.25">
      <c r="A497" s="221">
        <v>24</v>
      </c>
      <c r="B497" s="209" t="s">
        <v>9</v>
      </c>
      <c r="C497" s="17" t="s">
        <v>575</v>
      </c>
      <c r="D497" s="19" t="s">
        <v>14</v>
      </c>
      <c r="E497" s="19">
        <v>1</v>
      </c>
      <c r="F497" s="95"/>
      <c r="G497" s="54">
        <v>0</v>
      </c>
      <c r="H497" s="27"/>
      <c r="I497" s="54">
        <f>E497*G497</f>
        <v>0</v>
      </c>
      <c r="J497" s="1"/>
      <c r="K497" s="1"/>
      <c r="P497" s="1"/>
      <c r="Q497" s="1"/>
      <c r="R497" s="1"/>
      <c r="S497" s="1"/>
    </row>
    <row r="498" spans="1:19" x14ac:dyDescent="0.25">
      <c r="A498" s="28" t="s">
        <v>111</v>
      </c>
      <c r="B498" s="182" t="s">
        <v>13</v>
      </c>
      <c r="C498" s="11" t="s">
        <v>560</v>
      </c>
      <c r="D498" s="20" t="s">
        <v>14</v>
      </c>
      <c r="E498" s="20">
        <v>1</v>
      </c>
      <c r="F498" s="107">
        <v>0</v>
      </c>
      <c r="G498" s="15"/>
      <c r="H498" s="29">
        <f>E498*F498</f>
        <v>0</v>
      </c>
      <c r="I498" s="15"/>
      <c r="J498" s="1"/>
      <c r="K498" s="1"/>
      <c r="P498" s="1"/>
      <c r="Q498" s="1"/>
      <c r="R498" s="1"/>
      <c r="S498" s="1"/>
    </row>
    <row r="499" spans="1:19" ht="30.75" customHeight="1" x14ac:dyDescent="0.25">
      <c r="A499" s="155" t="s">
        <v>459</v>
      </c>
      <c r="B499" s="222" t="s">
        <v>9</v>
      </c>
      <c r="C499" s="17" t="s">
        <v>557</v>
      </c>
      <c r="D499" s="19" t="s">
        <v>454</v>
      </c>
      <c r="E499" s="19">
        <v>5</v>
      </c>
      <c r="F499" s="170"/>
      <c r="G499" s="252">
        <v>0</v>
      </c>
      <c r="H499" s="27"/>
      <c r="I499" s="54">
        <f>E499*G499</f>
        <v>0</v>
      </c>
      <c r="J499" s="1"/>
      <c r="K499" s="1"/>
      <c r="P499" s="1"/>
      <c r="Q499" s="1"/>
      <c r="R499" s="1"/>
      <c r="S499" s="1"/>
    </row>
    <row r="500" spans="1:19" ht="41.25" customHeight="1" x14ac:dyDescent="0.25">
      <c r="A500" s="155" t="s">
        <v>113</v>
      </c>
      <c r="B500" s="204" t="s">
        <v>9</v>
      </c>
      <c r="C500" s="17" t="s">
        <v>200</v>
      </c>
      <c r="D500" s="19" t="s">
        <v>53</v>
      </c>
      <c r="E500" s="18">
        <v>569.20000000000005</v>
      </c>
      <c r="F500" s="95"/>
      <c r="G500" s="54">
        <v>0</v>
      </c>
      <c r="H500" s="95"/>
      <c r="I500" s="54">
        <f>E500*G500</f>
        <v>0</v>
      </c>
      <c r="J500" s="1"/>
      <c r="K500" s="1"/>
      <c r="P500" s="1"/>
      <c r="Q500" s="1"/>
      <c r="R500" s="1"/>
      <c r="S500" s="1"/>
    </row>
    <row r="501" spans="1:19" ht="14.25" customHeight="1" x14ac:dyDescent="0.25">
      <c r="A501" s="28" t="s">
        <v>114</v>
      </c>
      <c r="B501" s="194" t="s">
        <v>13</v>
      </c>
      <c r="C501" s="167" t="s">
        <v>198</v>
      </c>
      <c r="D501" s="84" t="s">
        <v>53</v>
      </c>
      <c r="E501" s="12">
        <f>1.1*E500</f>
        <v>626.12</v>
      </c>
      <c r="F501" s="29">
        <v>0</v>
      </c>
      <c r="G501" s="94"/>
      <c r="H501" s="107">
        <f>E501*F501</f>
        <v>0</v>
      </c>
      <c r="I501" s="15"/>
      <c r="J501" s="1"/>
      <c r="K501" s="1"/>
      <c r="P501" s="1"/>
      <c r="Q501" s="1"/>
      <c r="R501" s="1"/>
      <c r="S501" s="1"/>
    </row>
    <row r="502" spans="1:19" ht="24" customHeight="1" x14ac:dyDescent="0.25">
      <c r="A502" s="28" t="s">
        <v>115</v>
      </c>
      <c r="B502" s="194" t="s">
        <v>13</v>
      </c>
      <c r="C502" s="71" t="s">
        <v>259</v>
      </c>
      <c r="D502" s="20" t="s">
        <v>38</v>
      </c>
      <c r="E502" s="12">
        <f>0.7*E500</f>
        <v>398.44</v>
      </c>
      <c r="F502" s="29">
        <v>0</v>
      </c>
      <c r="G502" s="94"/>
      <c r="H502" s="107">
        <f>E502*F502</f>
        <v>0</v>
      </c>
      <c r="I502" s="15"/>
      <c r="J502" s="1"/>
      <c r="K502" s="1"/>
      <c r="P502" s="1"/>
      <c r="Q502" s="1"/>
      <c r="R502" s="1"/>
      <c r="S502" s="1"/>
    </row>
    <row r="503" spans="1:19" ht="19.5" customHeight="1" x14ac:dyDescent="0.25">
      <c r="A503" s="155" t="s">
        <v>116</v>
      </c>
      <c r="B503" s="222" t="s">
        <v>9</v>
      </c>
      <c r="C503" s="220" t="s">
        <v>190</v>
      </c>
      <c r="D503" s="83" t="s">
        <v>53</v>
      </c>
      <c r="E503" s="83">
        <v>6</v>
      </c>
      <c r="F503" s="132"/>
      <c r="G503" s="59">
        <v>0</v>
      </c>
      <c r="H503" s="132"/>
      <c r="I503" s="59">
        <f>E503*G503</f>
        <v>0</v>
      </c>
      <c r="J503" s="1"/>
      <c r="K503" s="1"/>
      <c r="P503" s="1"/>
      <c r="Q503" s="1"/>
      <c r="R503" s="1"/>
      <c r="S503" s="1"/>
    </row>
    <row r="504" spans="1:19" ht="24" customHeight="1" x14ac:dyDescent="0.25">
      <c r="A504" s="118" t="s">
        <v>117</v>
      </c>
      <c r="B504" s="335" t="s">
        <v>13</v>
      </c>
      <c r="C504" s="167" t="s">
        <v>191</v>
      </c>
      <c r="D504" s="84" t="s">
        <v>53</v>
      </c>
      <c r="E504" s="84">
        <v>6</v>
      </c>
      <c r="F504" s="336">
        <v>0</v>
      </c>
      <c r="G504" s="112"/>
      <c r="H504" s="336">
        <f>E504*F504</f>
        <v>0</v>
      </c>
      <c r="I504" s="112"/>
      <c r="J504" s="1"/>
      <c r="K504" s="1"/>
      <c r="P504" s="1"/>
      <c r="Q504" s="1"/>
      <c r="R504" s="1"/>
      <c r="S504" s="1"/>
    </row>
    <row r="505" spans="1:19" ht="33" customHeight="1" thickBot="1" x14ac:dyDescent="0.3">
      <c r="A505" s="117" t="s">
        <v>118</v>
      </c>
      <c r="B505" s="210" t="s">
        <v>13</v>
      </c>
      <c r="C505" s="330" t="s">
        <v>192</v>
      </c>
      <c r="D505" s="331" t="s">
        <v>53</v>
      </c>
      <c r="E505" s="331">
        <v>6</v>
      </c>
      <c r="F505" s="333">
        <v>0</v>
      </c>
      <c r="G505" s="334"/>
      <c r="H505" s="333">
        <f>E505*F505</f>
        <v>0</v>
      </c>
      <c r="I505" s="15"/>
      <c r="J505" s="1"/>
      <c r="K505" s="1"/>
      <c r="P505" s="1"/>
      <c r="Q505" s="1"/>
      <c r="R505" s="1"/>
      <c r="S505" s="1"/>
    </row>
    <row r="506" spans="1:19" ht="14.25" customHeight="1" thickBot="1" x14ac:dyDescent="0.3">
      <c r="A506" s="36"/>
      <c r="B506" s="205"/>
      <c r="C506" s="5" t="s">
        <v>43</v>
      </c>
      <c r="D506" s="38"/>
      <c r="E506" s="39"/>
      <c r="F506" s="8"/>
      <c r="G506" s="7"/>
      <c r="H506" s="8">
        <f>SUM(H434:H505)</f>
        <v>0</v>
      </c>
      <c r="I506" s="40">
        <f>SUM(I433:I505)</f>
        <v>0</v>
      </c>
      <c r="J506" s="1"/>
      <c r="K506" s="1"/>
      <c r="P506" s="1"/>
      <c r="Q506" s="1"/>
      <c r="R506" s="1"/>
      <c r="S506" s="1"/>
    </row>
    <row r="507" spans="1:19" ht="14.25" customHeight="1" thickBot="1" x14ac:dyDescent="0.3">
      <c r="A507" s="43"/>
      <c r="B507" s="212"/>
      <c r="C507" s="45" t="s">
        <v>593</v>
      </c>
      <c r="D507" s="46"/>
      <c r="E507" s="47"/>
      <c r="F507" s="48"/>
      <c r="G507" s="49"/>
      <c r="H507" s="48"/>
      <c r="I507" s="50"/>
      <c r="J507" s="1"/>
      <c r="K507" s="1"/>
      <c r="P507" s="1"/>
      <c r="Q507" s="1"/>
      <c r="R507" s="1"/>
      <c r="S507" s="1"/>
    </row>
    <row r="508" spans="1:19" ht="14.25" customHeight="1" x14ac:dyDescent="0.25">
      <c r="A508" s="227" t="s">
        <v>119</v>
      </c>
      <c r="B508" s="228" t="s">
        <v>9</v>
      </c>
      <c r="C508" s="131" t="s">
        <v>20</v>
      </c>
      <c r="D508" s="125" t="s">
        <v>14</v>
      </c>
      <c r="E508" s="125">
        <v>25</v>
      </c>
      <c r="F508" s="127"/>
      <c r="G508" s="130">
        <v>0</v>
      </c>
      <c r="H508" s="127"/>
      <c r="I508" s="59">
        <f>E508*G508</f>
        <v>0</v>
      </c>
      <c r="J508" s="1"/>
      <c r="K508" s="1"/>
      <c r="P508" s="1"/>
      <c r="Q508" s="1"/>
      <c r="R508" s="1"/>
      <c r="S508" s="1"/>
    </row>
    <row r="509" spans="1:19" ht="14.25" customHeight="1" x14ac:dyDescent="0.25">
      <c r="A509" s="86" t="s">
        <v>120</v>
      </c>
      <c r="B509" s="217" t="s">
        <v>13</v>
      </c>
      <c r="C509" s="115" t="s">
        <v>193</v>
      </c>
      <c r="D509" s="12" t="s">
        <v>14</v>
      </c>
      <c r="E509" s="12">
        <v>25</v>
      </c>
      <c r="F509" s="29">
        <v>0</v>
      </c>
      <c r="G509" s="94"/>
      <c r="H509" s="107">
        <f>E509*F509</f>
        <v>0</v>
      </c>
      <c r="I509" s="15"/>
      <c r="J509" s="1"/>
      <c r="K509" s="1"/>
      <c r="P509" s="1"/>
      <c r="Q509" s="1"/>
      <c r="R509" s="1"/>
      <c r="S509" s="1"/>
    </row>
    <row r="510" spans="1:19" ht="14.25" customHeight="1" x14ac:dyDescent="0.25">
      <c r="A510" s="86" t="s">
        <v>121</v>
      </c>
      <c r="B510" s="217" t="s">
        <v>13</v>
      </c>
      <c r="C510" s="67" t="s">
        <v>194</v>
      </c>
      <c r="D510" s="12" t="s">
        <v>14</v>
      </c>
      <c r="E510" s="12">
        <v>25</v>
      </c>
      <c r="F510" s="29">
        <v>0</v>
      </c>
      <c r="G510" s="94"/>
      <c r="H510" s="107">
        <f>E510*F510</f>
        <v>0</v>
      </c>
      <c r="I510" s="15"/>
      <c r="J510" s="1"/>
      <c r="K510" s="1"/>
      <c r="P510" s="1"/>
      <c r="Q510" s="1"/>
      <c r="R510" s="1"/>
      <c r="S510" s="1"/>
    </row>
    <row r="511" spans="1:19" ht="44.25" customHeight="1" x14ac:dyDescent="0.25">
      <c r="A511" s="87" t="s">
        <v>122</v>
      </c>
      <c r="B511" s="229" t="s">
        <v>9</v>
      </c>
      <c r="C511" s="68" t="s">
        <v>52</v>
      </c>
      <c r="D511" s="18" t="s">
        <v>53</v>
      </c>
      <c r="E511" s="18">
        <v>29.07</v>
      </c>
      <c r="F511" s="27"/>
      <c r="G511" s="110">
        <v>0</v>
      </c>
      <c r="H511" s="95"/>
      <c r="I511" s="54">
        <f>E511*G511</f>
        <v>0</v>
      </c>
      <c r="J511" s="1"/>
      <c r="K511" s="1">
        <f>K513+K515+K516</f>
        <v>29.07</v>
      </c>
      <c r="L511" s="262"/>
      <c r="P511" s="1"/>
      <c r="Q511" s="1"/>
      <c r="R511" s="1"/>
      <c r="S511" s="1"/>
    </row>
    <row r="512" spans="1:19" ht="14.25" customHeight="1" x14ac:dyDescent="0.25">
      <c r="A512" s="28" t="s">
        <v>123</v>
      </c>
      <c r="B512" s="182" t="s">
        <v>13</v>
      </c>
      <c r="C512" s="64" t="s">
        <v>54</v>
      </c>
      <c r="D512" s="65" t="s">
        <v>38</v>
      </c>
      <c r="E512" s="66">
        <f>0.606*E511</f>
        <v>17.62</v>
      </c>
      <c r="F512" s="29">
        <v>0</v>
      </c>
      <c r="G512" s="15"/>
      <c r="H512" s="29">
        <f t="shared" ref="H512:H516" si="40">E512*F512</f>
        <v>0</v>
      </c>
      <c r="I512" s="15"/>
      <c r="J512" s="1"/>
      <c r="K512" s="1"/>
      <c r="P512" s="1"/>
      <c r="Q512" s="1"/>
      <c r="R512" s="1"/>
      <c r="S512" s="1"/>
    </row>
    <row r="513" spans="1:19" ht="27.75" customHeight="1" x14ac:dyDescent="0.25">
      <c r="A513" s="86" t="s">
        <v>604</v>
      </c>
      <c r="B513" s="217" t="s">
        <v>13</v>
      </c>
      <c r="C513" s="115" t="s">
        <v>195</v>
      </c>
      <c r="D513" s="12" t="s">
        <v>57</v>
      </c>
      <c r="E513" s="12">
        <v>21</v>
      </c>
      <c r="F513" s="29">
        <v>0</v>
      </c>
      <c r="G513" s="94"/>
      <c r="H513" s="107">
        <f t="shared" si="40"/>
        <v>0</v>
      </c>
      <c r="I513" s="15"/>
      <c r="J513" s="1"/>
      <c r="K513" s="1">
        <v>22.97</v>
      </c>
      <c r="L513" s="108">
        <f>E513+E514</f>
        <v>73.099999999999994</v>
      </c>
      <c r="P513" s="1"/>
      <c r="Q513" s="1"/>
      <c r="R513" s="1"/>
      <c r="S513" s="1"/>
    </row>
    <row r="514" spans="1:19" ht="26.25" customHeight="1" x14ac:dyDescent="0.25">
      <c r="A514" s="28" t="s">
        <v>605</v>
      </c>
      <c r="B514" s="217" t="s">
        <v>13</v>
      </c>
      <c r="C514" s="115" t="s">
        <v>196</v>
      </c>
      <c r="D514" s="12" t="s">
        <v>57</v>
      </c>
      <c r="E514" s="12">
        <v>52.1</v>
      </c>
      <c r="F514" s="29">
        <v>0</v>
      </c>
      <c r="G514" s="94"/>
      <c r="H514" s="107">
        <f t="shared" si="40"/>
        <v>0</v>
      </c>
      <c r="I514" s="15"/>
      <c r="J514" s="1"/>
      <c r="K514" s="1"/>
      <c r="P514" s="1"/>
      <c r="Q514" s="1"/>
      <c r="R514" s="1"/>
      <c r="S514" s="1"/>
    </row>
    <row r="515" spans="1:19" x14ac:dyDescent="0.25">
      <c r="A515" s="86" t="s">
        <v>606</v>
      </c>
      <c r="B515" s="217" t="s">
        <v>13</v>
      </c>
      <c r="C515" s="115" t="s">
        <v>428</v>
      </c>
      <c r="D515" s="12" t="s">
        <v>14</v>
      </c>
      <c r="E515" s="12">
        <v>35</v>
      </c>
      <c r="F515" s="29">
        <v>0</v>
      </c>
      <c r="G515" s="94"/>
      <c r="H515" s="107">
        <f t="shared" si="40"/>
        <v>0</v>
      </c>
      <c r="I515" s="15"/>
      <c r="J515" s="1"/>
      <c r="K515" s="1">
        <f>0.1*E515</f>
        <v>3.5</v>
      </c>
      <c r="P515" s="1"/>
      <c r="Q515" s="1"/>
      <c r="R515" s="1"/>
      <c r="S515" s="1"/>
    </row>
    <row r="516" spans="1:19" x14ac:dyDescent="0.25">
      <c r="A516" s="28" t="s">
        <v>607</v>
      </c>
      <c r="B516" s="217" t="s">
        <v>13</v>
      </c>
      <c r="C516" s="115" t="s">
        <v>427</v>
      </c>
      <c r="D516" s="12" t="s">
        <v>14</v>
      </c>
      <c r="E516" s="12">
        <v>26</v>
      </c>
      <c r="F516" s="29">
        <v>0</v>
      </c>
      <c r="G516" s="94"/>
      <c r="H516" s="107">
        <f t="shared" si="40"/>
        <v>0</v>
      </c>
      <c r="I516" s="15"/>
      <c r="J516" s="1"/>
      <c r="K516" s="1">
        <f>0.1*E516</f>
        <v>2.6</v>
      </c>
      <c r="P516" s="1"/>
      <c r="Q516" s="1"/>
      <c r="R516" s="1"/>
      <c r="S516" s="1"/>
    </row>
    <row r="517" spans="1:19" ht="35.25" customHeight="1" x14ac:dyDescent="0.25">
      <c r="A517" s="87" t="s">
        <v>124</v>
      </c>
      <c r="B517" s="229" t="s">
        <v>9</v>
      </c>
      <c r="C517" s="17" t="s">
        <v>200</v>
      </c>
      <c r="D517" s="19" t="s">
        <v>53</v>
      </c>
      <c r="E517" s="18">
        <v>18.3</v>
      </c>
      <c r="F517" s="27"/>
      <c r="G517" s="110">
        <v>0</v>
      </c>
      <c r="H517" s="95"/>
      <c r="I517" s="54">
        <f>E517*G517</f>
        <v>0</v>
      </c>
      <c r="J517" s="1"/>
      <c r="K517" s="1"/>
      <c r="P517" s="1"/>
      <c r="Q517" s="1"/>
      <c r="R517" s="1"/>
      <c r="S517" s="1"/>
    </row>
    <row r="518" spans="1:19" ht="14.25" customHeight="1" x14ac:dyDescent="0.25">
      <c r="A518" s="86" t="s">
        <v>125</v>
      </c>
      <c r="B518" s="217" t="s">
        <v>13</v>
      </c>
      <c r="C518" s="167" t="s">
        <v>198</v>
      </c>
      <c r="D518" s="84" t="s">
        <v>53</v>
      </c>
      <c r="E518" s="12">
        <f>1.1*E517</f>
        <v>20.13</v>
      </c>
      <c r="F518" s="29">
        <v>0</v>
      </c>
      <c r="G518" s="94"/>
      <c r="H518" s="107">
        <f>E518*F518</f>
        <v>0</v>
      </c>
      <c r="I518" s="15"/>
      <c r="J518" s="1"/>
      <c r="K518" s="1"/>
      <c r="P518" s="1"/>
      <c r="Q518" s="1"/>
      <c r="R518" s="1"/>
      <c r="S518" s="1"/>
    </row>
    <row r="519" spans="1:19" ht="14.25" customHeight="1" thickBot="1" x14ac:dyDescent="0.3">
      <c r="A519" s="350" t="s">
        <v>608</v>
      </c>
      <c r="B519" s="340" t="s">
        <v>13</v>
      </c>
      <c r="C519" s="330" t="s">
        <v>199</v>
      </c>
      <c r="D519" s="331" t="s">
        <v>38</v>
      </c>
      <c r="E519" s="342">
        <f>0.7*E517</f>
        <v>12.81</v>
      </c>
      <c r="F519" s="333">
        <v>0</v>
      </c>
      <c r="G519" s="343"/>
      <c r="H519" s="344">
        <f>E519*F519</f>
        <v>0</v>
      </c>
      <c r="I519" s="334"/>
      <c r="J519" s="1"/>
      <c r="K519" s="1"/>
      <c r="P519" s="1"/>
      <c r="Q519" s="1"/>
      <c r="R519" s="1"/>
      <c r="S519" s="1"/>
    </row>
    <row r="520" spans="1:19" ht="14.25" customHeight="1" thickBot="1" x14ac:dyDescent="0.3">
      <c r="A520" s="43"/>
      <c r="B520" s="214"/>
      <c r="C520" s="248" t="s">
        <v>407</v>
      </c>
      <c r="D520" s="46"/>
      <c r="E520" s="46"/>
      <c r="F520" s="91"/>
      <c r="G520" s="100"/>
      <c r="H520" s="113">
        <f>SUM(H508:H519)</f>
        <v>0</v>
      </c>
      <c r="I520" s="81">
        <f>SUM(I508:I519)</f>
        <v>0</v>
      </c>
      <c r="J520" s="1"/>
      <c r="K520" s="1"/>
      <c r="L520" s="262"/>
      <c r="M520" s="262"/>
      <c r="P520" s="1"/>
      <c r="Q520" s="1"/>
      <c r="R520" s="1"/>
      <c r="S520" s="1"/>
    </row>
    <row r="521" spans="1:19" ht="14.25" customHeight="1" thickBot="1" x14ac:dyDescent="0.3">
      <c r="A521" s="162"/>
      <c r="B521" s="213"/>
      <c r="C521" s="260" t="s">
        <v>44</v>
      </c>
      <c r="D521" s="157"/>
      <c r="E521" s="157"/>
      <c r="F521" s="259"/>
      <c r="G521" s="136"/>
      <c r="H521" s="243">
        <f>H358+H431+H506+H520</f>
        <v>0</v>
      </c>
      <c r="I521" s="244">
        <f>I358+I431+I506+I520</f>
        <v>0</v>
      </c>
      <c r="J521" s="1"/>
      <c r="K521" s="1"/>
      <c r="L521" s="262"/>
      <c r="M521" s="262"/>
      <c r="P521" s="1"/>
      <c r="Q521" s="1"/>
      <c r="R521" s="1"/>
      <c r="S521" s="1"/>
    </row>
    <row r="522" spans="1:19" ht="14.25" customHeight="1" thickBot="1" x14ac:dyDescent="0.3">
      <c r="A522" s="162"/>
      <c r="B522" s="213"/>
      <c r="C522" s="260" t="s">
        <v>429</v>
      </c>
      <c r="D522" s="157"/>
      <c r="E522" s="157"/>
      <c r="F522" s="259"/>
      <c r="G522" s="136"/>
      <c r="H522" s="243"/>
      <c r="I522" s="244">
        <f>H521+I521</f>
        <v>0</v>
      </c>
      <c r="J522" s="1"/>
      <c r="K522" s="1"/>
      <c r="P522" s="1"/>
      <c r="Q522" s="1"/>
      <c r="R522" s="1"/>
      <c r="S522" s="1"/>
    </row>
    <row r="523" spans="1:19" ht="14.25" customHeight="1" thickBot="1" x14ac:dyDescent="0.3">
      <c r="A523" s="43"/>
      <c r="B523" s="44" t="s">
        <v>204</v>
      </c>
      <c r="C523" s="129" t="s">
        <v>317</v>
      </c>
      <c r="D523" s="46"/>
      <c r="E523" s="46"/>
      <c r="F523" s="91"/>
      <c r="G523" s="100"/>
      <c r="H523" s="113"/>
      <c r="I523" s="50"/>
      <c r="J523" s="1"/>
      <c r="K523" s="1"/>
      <c r="P523" s="1"/>
      <c r="Q523" s="1"/>
      <c r="R523" s="1"/>
      <c r="S523" s="1"/>
    </row>
    <row r="524" spans="1:19" ht="14.25" customHeight="1" thickBot="1" x14ac:dyDescent="0.3">
      <c r="A524" s="43"/>
      <c r="B524" s="214"/>
      <c r="C524" s="129" t="s">
        <v>595</v>
      </c>
      <c r="D524" s="46"/>
      <c r="E524" s="46"/>
      <c r="F524" s="91"/>
      <c r="G524" s="100"/>
      <c r="H524" s="113"/>
      <c r="I524" s="50"/>
      <c r="J524" s="1"/>
      <c r="K524" s="1"/>
      <c r="P524" s="1"/>
      <c r="Q524" s="1"/>
      <c r="R524" s="1"/>
      <c r="S524" s="1"/>
    </row>
    <row r="525" spans="1:19" ht="40.5" customHeight="1" x14ac:dyDescent="0.25">
      <c r="A525" s="125">
        <v>1</v>
      </c>
      <c r="B525" s="186" t="s">
        <v>9</v>
      </c>
      <c r="C525" s="68" t="s">
        <v>206</v>
      </c>
      <c r="D525" s="83" t="s">
        <v>53</v>
      </c>
      <c r="E525" s="83">
        <v>0.44</v>
      </c>
      <c r="F525" s="132"/>
      <c r="G525" s="59">
        <v>0</v>
      </c>
      <c r="H525" s="132"/>
      <c r="I525" s="59">
        <f>E525*G525</f>
        <v>0</v>
      </c>
      <c r="J525" s="1"/>
      <c r="K525" s="1"/>
      <c r="P525" s="1"/>
      <c r="Q525" s="1"/>
      <c r="R525" s="1"/>
      <c r="S525" s="1"/>
    </row>
    <row r="526" spans="1:19" ht="14.25" customHeight="1" x14ac:dyDescent="0.25">
      <c r="A526" s="10" t="s">
        <v>12</v>
      </c>
      <c r="B526" s="187" t="s">
        <v>13</v>
      </c>
      <c r="C526" s="11" t="s">
        <v>54</v>
      </c>
      <c r="D526" s="20" t="s">
        <v>38</v>
      </c>
      <c r="E526" s="70">
        <f>1.22*E525</f>
        <v>0.54</v>
      </c>
      <c r="F526" s="29">
        <v>0</v>
      </c>
      <c r="G526" s="15"/>
      <c r="H526" s="29">
        <f t="shared" ref="H526:H527" si="41">E526*F526</f>
        <v>0</v>
      </c>
      <c r="I526" s="15"/>
      <c r="J526" s="1"/>
      <c r="K526" s="1"/>
      <c r="P526" s="1"/>
      <c r="Q526" s="1"/>
      <c r="R526" s="1"/>
      <c r="S526" s="1"/>
    </row>
    <row r="527" spans="1:19" ht="29.25" customHeight="1" x14ac:dyDescent="0.25">
      <c r="A527" s="28" t="s">
        <v>15</v>
      </c>
      <c r="B527" s="182" t="s">
        <v>13</v>
      </c>
      <c r="C527" s="11" t="s">
        <v>205</v>
      </c>
      <c r="D527" s="20" t="s">
        <v>57</v>
      </c>
      <c r="E527" s="20">
        <v>0.4</v>
      </c>
      <c r="F527" s="29">
        <v>0</v>
      </c>
      <c r="G527" s="15"/>
      <c r="H527" s="29">
        <f t="shared" si="41"/>
        <v>0</v>
      </c>
      <c r="I527" s="15"/>
      <c r="J527" s="1"/>
      <c r="K527" s="1">
        <f>1.1*E527</f>
        <v>0.44</v>
      </c>
      <c r="P527" s="1"/>
      <c r="Q527" s="1"/>
      <c r="R527" s="1"/>
      <c r="S527" s="1"/>
    </row>
    <row r="528" spans="1:19" ht="40.5" customHeight="1" x14ac:dyDescent="0.25">
      <c r="A528" s="16" t="s">
        <v>16</v>
      </c>
      <c r="B528" s="188" t="s">
        <v>9</v>
      </c>
      <c r="C528" s="264" t="s">
        <v>66</v>
      </c>
      <c r="D528" s="18" t="s">
        <v>14</v>
      </c>
      <c r="E528" s="276">
        <v>2</v>
      </c>
      <c r="F528" s="13"/>
      <c r="G528" s="110">
        <v>0</v>
      </c>
      <c r="H528" s="95"/>
      <c r="I528" s="54">
        <f>E528*G528</f>
        <v>0</v>
      </c>
      <c r="J528" s="1"/>
      <c r="K528" s="1"/>
      <c r="P528" s="1"/>
      <c r="Q528" s="1"/>
      <c r="R528" s="1"/>
      <c r="S528" s="1"/>
    </row>
    <row r="529" spans="1:19" ht="14.25" customHeight="1" x14ac:dyDescent="0.25">
      <c r="A529" s="28" t="s">
        <v>17</v>
      </c>
      <c r="B529" s="187" t="s">
        <v>13</v>
      </c>
      <c r="C529" s="64" t="s">
        <v>207</v>
      </c>
      <c r="D529" s="12" t="s">
        <v>14</v>
      </c>
      <c r="E529" s="12">
        <v>2</v>
      </c>
      <c r="F529" s="14">
        <v>0</v>
      </c>
      <c r="G529" s="94"/>
      <c r="H529" s="107">
        <f>E529*F529</f>
        <v>0</v>
      </c>
      <c r="I529" s="15"/>
      <c r="J529" s="1"/>
      <c r="K529" s="1"/>
      <c r="P529" s="1"/>
      <c r="Q529" s="1"/>
      <c r="R529" s="1"/>
      <c r="S529" s="1"/>
    </row>
    <row r="530" spans="1:19" ht="35.25" customHeight="1" x14ac:dyDescent="0.25">
      <c r="A530" s="302" t="s">
        <v>19</v>
      </c>
      <c r="B530" s="303" t="s">
        <v>9</v>
      </c>
      <c r="C530" s="164" t="s">
        <v>551</v>
      </c>
      <c r="D530" s="304" t="s">
        <v>14</v>
      </c>
      <c r="E530" s="304">
        <v>2</v>
      </c>
      <c r="F530" s="305"/>
      <c r="G530" s="306">
        <v>0</v>
      </c>
      <c r="H530" s="307"/>
      <c r="I530" s="271">
        <f>E530*G530</f>
        <v>0</v>
      </c>
      <c r="J530" s="1"/>
      <c r="K530" s="1"/>
      <c r="P530" s="1"/>
      <c r="Q530" s="1"/>
      <c r="R530" s="1"/>
      <c r="S530" s="1"/>
    </row>
    <row r="531" spans="1:19" ht="32.25" customHeight="1" x14ac:dyDescent="0.25">
      <c r="A531" s="10" t="s">
        <v>21</v>
      </c>
      <c r="B531" s="187" t="s">
        <v>13</v>
      </c>
      <c r="C531" s="64" t="s">
        <v>208</v>
      </c>
      <c r="D531" s="12" t="s">
        <v>14</v>
      </c>
      <c r="E531" s="12">
        <v>2</v>
      </c>
      <c r="F531" s="14">
        <v>0</v>
      </c>
      <c r="G531" s="94"/>
      <c r="H531" s="107">
        <f>E531*F531</f>
        <v>0</v>
      </c>
      <c r="I531" s="15"/>
      <c r="J531" s="1"/>
      <c r="K531" s="1"/>
      <c r="P531" s="1"/>
      <c r="Q531" s="1"/>
      <c r="R531" s="1"/>
      <c r="S531" s="1"/>
    </row>
    <row r="532" spans="1:19" ht="50.25" customHeight="1" x14ac:dyDescent="0.25">
      <c r="A532" s="155" t="s">
        <v>23</v>
      </c>
      <c r="B532" s="222" t="s">
        <v>9</v>
      </c>
      <c r="C532" s="160" t="s">
        <v>318</v>
      </c>
      <c r="D532" s="83" t="s">
        <v>53</v>
      </c>
      <c r="E532" s="83">
        <v>0.18</v>
      </c>
      <c r="F532" s="132"/>
      <c r="G532" s="59">
        <v>0</v>
      </c>
      <c r="H532" s="132"/>
      <c r="I532" s="59">
        <f>E532*G532</f>
        <v>0</v>
      </c>
      <c r="J532" s="1"/>
      <c r="K532" s="1"/>
      <c r="P532" s="1"/>
      <c r="Q532" s="1"/>
      <c r="R532" s="1"/>
      <c r="S532" s="1"/>
    </row>
    <row r="533" spans="1:19" ht="14.25" customHeight="1" x14ac:dyDescent="0.25">
      <c r="A533" s="28" t="s">
        <v>24</v>
      </c>
      <c r="B533" s="182" t="s">
        <v>13</v>
      </c>
      <c r="C533" s="161" t="s">
        <v>149</v>
      </c>
      <c r="D533" s="20" t="s">
        <v>38</v>
      </c>
      <c r="E533" s="70">
        <f>0.712*E532</f>
        <v>0.13</v>
      </c>
      <c r="F533" s="29">
        <v>0</v>
      </c>
      <c r="G533" s="15"/>
      <c r="H533" s="29">
        <f t="shared" ref="H533:H535" si="42">E533*F533</f>
        <v>0</v>
      </c>
      <c r="I533" s="15"/>
      <c r="J533" s="1"/>
      <c r="K533" s="1"/>
      <c r="P533" s="1"/>
      <c r="Q533" s="1"/>
      <c r="R533" s="1"/>
      <c r="S533" s="1"/>
    </row>
    <row r="534" spans="1:19" ht="27" customHeight="1" x14ac:dyDescent="0.25">
      <c r="A534" s="28" t="s">
        <v>59</v>
      </c>
      <c r="B534" s="182" t="s">
        <v>13</v>
      </c>
      <c r="C534" s="161" t="s">
        <v>319</v>
      </c>
      <c r="D534" s="20" t="s">
        <v>57</v>
      </c>
      <c r="E534" s="20">
        <v>0.2</v>
      </c>
      <c r="F534" s="29">
        <v>0</v>
      </c>
      <c r="G534" s="15"/>
      <c r="H534" s="29">
        <f t="shared" si="42"/>
        <v>0</v>
      </c>
      <c r="I534" s="15"/>
      <c r="J534" s="1"/>
      <c r="K534" s="1">
        <f>0.9*E534</f>
        <v>0.18</v>
      </c>
      <c r="P534" s="1"/>
      <c r="Q534" s="1"/>
      <c r="R534" s="1"/>
      <c r="S534" s="1"/>
    </row>
    <row r="535" spans="1:19" ht="14.25" customHeight="1" x14ac:dyDescent="0.25">
      <c r="A535" s="106" t="s">
        <v>127</v>
      </c>
      <c r="B535" s="182" t="s">
        <v>13</v>
      </c>
      <c r="C535" s="114" t="s">
        <v>320</v>
      </c>
      <c r="D535" s="84" t="s">
        <v>53</v>
      </c>
      <c r="E535" s="84">
        <v>0.1</v>
      </c>
      <c r="F535" s="29">
        <v>0</v>
      </c>
      <c r="G535" s="94"/>
      <c r="H535" s="107">
        <f t="shared" si="42"/>
        <v>0</v>
      </c>
      <c r="I535" s="15"/>
      <c r="J535" s="1"/>
      <c r="K535" s="1"/>
      <c r="P535" s="1"/>
      <c r="Q535" s="1"/>
      <c r="R535" s="1"/>
      <c r="S535" s="1"/>
    </row>
    <row r="536" spans="1:19" ht="39" customHeight="1" x14ac:dyDescent="0.25">
      <c r="A536" s="25" t="s">
        <v>50</v>
      </c>
      <c r="B536" s="201" t="s">
        <v>174</v>
      </c>
      <c r="C536" s="17" t="s">
        <v>47</v>
      </c>
      <c r="D536" s="19" t="s">
        <v>14</v>
      </c>
      <c r="E536" s="19">
        <v>6</v>
      </c>
      <c r="F536" s="27"/>
      <c r="G536" s="54">
        <v>0</v>
      </c>
      <c r="H536" s="27"/>
      <c r="I536" s="54">
        <f>E536*G536</f>
        <v>0</v>
      </c>
      <c r="J536" s="1"/>
      <c r="K536" s="1"/>
      <c r="P536" s="1"/>
      <c r="Q536" s="1"/>
      <c r="R536" s="1"/>
      <c r="S536" s="1"/>
    </row>
    <row r="537" spans="1:19" ht="40.5" customHeight="1" x14ac:dyDescent="0.25">
      <c r="A537" s="28" t="s">
        <v>26</v>
      </c>
      <c r="B537" s="182" t="s">
        <v>13</v>
      </c>
      <c r="C537" s="11" t="s">
        <v>322</v>
      </c>
      <c r="D537" s="20" t="s">
        <v>14</v>
      </c>
      <c r="E537" s="329">
        <v>1</v>
      </c>
      <c r="F537" s="29">
        <v>0</v>
      </c>
      <c r="G537" s="15"/>
      <c r="H537" s="29">
        <f>E537*F537</f>
        <v>0</v>
      </c>
      <c r="I537" s="15"/>
      <c r="J537" s="1"/>
      <c r="K537" s="1"/>
      <c r="P537" s="1"/>
      <c r="Q537" s="1"/>
      <c r="R537" s="1"/>
      <c r="S537" s="1"/>
    </row>
    <row r="538" spans="1:19" ht="28.5" customHeight="1" x14ac:dyDescent="0.25">
      <c r="A538" s="106" t="s">
        <v>27</v>
      </c>
      <c r="B538" s="182" t="s">
        <v>13</v>
      </c>
      <c r="C538" s="114" t="s">
        <v>323</v>
      </c>
      <c r="D538" s="84" t="s">
        <v>14</v>
      </c>
      <c r="E538" s="84">
        <v>5</v>
      </c>
      <c r="F538" s="29">
        <v>0</v>
      </c>
      <c r="G538" s="94"/>
      <c r="H538" s="107">
        <f>E538*F538</f>
        <v>0</v>
      </c>
      <c r="I538" s="15"/>
      <c r="J538" s="1"/>
      <c r="K538" s="1"/>
      <c r="P538" s="1"/>
      <c r="Q538" s="1"/>
      <c r="R538" s="1"/>
      <c r="S538" s="1"/>
    </row>
    <row r="539" spans="1:19" ht="56.25" customHeight="1" x14ac:dyDescent="0.25">
      <c r="A539" s="92" t="s">
        <v>29</v>
      </c>
      <c r="B539" s="215" t="s">
        <v>9</v>
      </c>
      <c r="C539" s="164" t="s">
        <v>60</v>
      </c>
      <c r="D539" s="83" t="s">
        <v>53</v>
      </c>
      <c r="E539" s="83">
        <v>0.6</v>
      </c>
      <c r="F539" s="27"/>
      <c r="G539" s="110">
        <v>0</v>
      </c>
      <c r="H539" s="95"/>
      <c r="I539" s="54">
        <f>E539*G539</f>
        <v>0</v>
      </c>
      <c r="J539" s="1"/>
      <c r="K539" s="1"/>
      <c r="P539" s="1"/>
      <c r="Q539" s="1"/>
      <c r="R539" s="1"/>
      <c r="S539" s="1"/>
    </row>
    <row r="540" spans="1:19" ht="14.25" customHeight="1" x14ac:dyDescent="0.25">
      <c r="A540" s="106" t="s">
        <v>31</v>
      </c>
      <c r="B540" s="216" t="s">
        <v>13</v>
      </c>
      <c r="C540" s="114" t="s">
        <v>149</v>
      </c>
      <c r="D540" s="84" t="s">
        <v>38</v>
      </c>
      <c r="E540" s="165">
        <f>0.712*E539</f>
        <v>0.43</v>
      </c>
      <c r="F540" s="29">
        <v>0</v>
      </c>
      <c r="G540" s="94"/>
      <c r="H540" s="107">
        <f>E540*F540</f>
        <v>0</v>
      </c>
      <c r="I540" s="15"/>
      <c r="J540" s="1"/>
      <c r="K540" s="1"/>
      <c r="P540" s="1"/>
      <c r="Q540" s="1"/>
      <c r="R540" s="1"/>
      <c r="S540" s="1"/>
    </row>
    <row r="541" spans="1:19" ht="31.5" customHeight="1" x14ac:dyDescent="0.25">
      <c r="A541" s="106" t="s">
        <v>62</v>
      </c>
      <c r="B541" s="216" t="s">
        <v>13</v>
      </c>
      <c r="C541" s="114" t="s">
        <v>324</v>
      </c>
      <c r="D541" s="84" t="s">
        <v>57</v>
      </c>
      <c r="E541" s="84">
        <v>1</v>
      </c>
      <c r="F541" s="29">
        <v>0</v>
      </c>
      <c r="G541" s="94"/>
      <c r="H541" s="107">
        <f>E541*F541</f>
        <v>0</v>
      </c>
      <c r="I541" s="15"/>
      <c r="J541" s="1"/>
      <c r="K541" s="1">
        <f>0.6*E541</f>
        <v>0.6</v>
      </c>
      <c r="P541" s="1"/>
      <c r="Q541" s="1"/>
      <c r="R541" s="1"/>
      <c r="S541" s="1"/>
    </row>
    <row r="542" spans="1:19" ht="42.75" customHeight="1" x14ac:dyDescent="0.25">
      <c r="A542" s="92" t="s">
        <v>32</v>
      </c>
      <c r="B542" s="215" t="s">
        <v>9</v>
      </c>
      <c r="C542" s="164" t="s">
        <v>126</v>
      </c>
      <c r="D542" s="83" t="s">
        <v>14</v>
      </c>
      <c r="E542" s="83">
        <v>6</v>
      </c>
      <c r="F542" s="27"/>
      <c r="G542" s="110">
        <v>0</v>
      </c>
      <c r="H542" s="95"/>
      <c r="I542" s="54">
        <f>E542*G542</f>
        <v>0</v>
      </c>
      <c r="J542" s="1"/>
      <c r="K542" s="1"/>
      <c r="P542" s="1"/>
      <c r="Q542" s="1"/>
      <c r="R542" s="1"/>
      <c r="S542" s="1"/>
    </row>
    <row r="543" spans="1:19" ht="29.25" customHeight="1" x14ac:dyDescent="0.25">
      <c r="A543" s="106" t="s">
        <v>33</v>
      </c>
      <c r="B543" s="216" t="s">
        <v>13</v>
      </c>
      <c r="C543" s="114" t="s">
        <v>325</v>
      </c>
      <c r="D543" s="84" t="s">
        <v>14</v>
      </c>
      <c r="E543" s="84">
        <v>5</v>
      </c>
      <c r="F543" s="29">
        <v>0</v>
      </c>
      <c r="G543" s="94"/>
      <c r="H543" s="107">
        <f>E543*F543</f>
        <v>0</v>
      </c>
      <c r="I543" s="15"/>
      <c r="J543" s="1"/>
      <c r="K543" s="1"/>
      <c r="P543" s="1"/>
      <c r="Q543" s="1"/>
      <c r="R543" s="1"/>
      <c r="S543" s="1"/>
    </row>
    <row r="544" spans="1:19" ht="37.5" customHeight="1" thickBot="1" x14ac:dyDescent="0.3">
      <c r="A544" s="373" t="s">
        <v>34</v>
      </c>
      <c r="B544" s="374" t="s">
        <v>13</v>
      </c>
      <c r="C544" s="114" t="s">
        <v>321</v>
      </c>
      <c r="D544" s="85" t="s">
        <v>14</v>
      </c>
      <c r="E544" s="85">
        <v>1</v>
      </c>
      <c r="F544" s="333">
        <v>0</v>
      </c>
      <c r="G544" s="343"/>
      <c r="H544" s="344">
        <f>E544*F544</f>
        <v>0</v>
      </c>
      <c r="I544" s="334"/>
      <c r="J544" s="1"/>
      <c r="K544" s="1"/>
      <c r="P544" s="1"/>
      <c r="Q544" s="1"/>
      <c r="R544" s="1"/>
      <c r="S544" s="1"/>
    </row>
    <row r="545" spans="1:19" ht="15.75" thickBot="1" x14ac:dyDescent="0.3">
      <c r="A545" s="43"/>
      <c r="B545" s="214"/>
      <c r="C545" s="248" t="s">
        <v>407</v>
      </c>
      <c r="D545" s="46"/>
      <c r="E545" s="46"/>
      <c r="F545" s="119"/>
      <c r="G545" s="100"/>
      <c r="H545" s="113">
        <f>SUM(H526:H544)</f>
        <v>0</v>
      </c>
      <c r="I545" s="81">
        <f>SUM(I525:I544)</f>
        <v>0</v>
      </c>
      <c r="J545" s="1"/>
      <c r="K545" s="1"/>
      <c r="P545" s="1"/>
      <c r="Q545" s="1"/>
      <c r="R545" s="1"/>
      <c r="S545" s="1"/>
    </row>
    <row r="546" spans="1:19" ht="14.25" customHeight="1" thickBot="1" x14ac:dyDescent="0.3">
      <c r="A546" s="43"/>
      <c r="B546" s="214"/>
      <c r="C546" s="129" t="s">
        <v>326</v>
      </c>
      <c r="D546" s="46"/>
      <c r="E546" s="46"/>
      <c r="F546" s="91"/>
      <c r="G546" s="100"/>
      <c r="H546" s="113"/>
      <c r="I546" s="50"/>
      <c r="J546" s="1"/>
      <c r="K546" s="1"/>
      <c r="P546" s="1"/>
      <c r="Q546" s="1"/>
      <c r="R546" s="1"/>
      <c r="S546" s="1"/>
    </row>
    <row r="547" spans="1:19" ht="40.5" customHeight="1" x14ac:dyDescent="0.25">
      <c r="A547" s="92" t="s">
        <v>36</v>
      </c>
      <c r="B547" s="186" t="s">
        <v>9</v>
      </c>
      <c r="C547" s="68" t="s">
        <v>52</v>
      </c>
      <c r="D547" s="18" t="s">
        <v>53</v>
      </c>
      <c r="E547" s="18">
        <v>1.4</v>
      </c>
      <c r="F547" s="27"/>
      <c r="G547" s="110">
        <v>0</v>
      </c>
      <c r="H547" s="95"/>
      <c r="I547" s="54">
        <f>E547*G547</f>
        <v>0</v>
      </c>
      <c r="J547" s="1"/>
      <c r="K547" s="1"/>
      <c r="P547" s="1"/>
      <c r="Q547" s="1"/>
      <c r="R547" s="1"/>
      <c r="S547" s="1"/>
    </row>
    <row r="548" spans="1:19" ht="18.75" customHeight="1" x14ac:dyDescent="0.25">
      <c r="A548" s="10" t="s">
        <v>37</v>
      </c>
      <c r="B548" s="187" t="s">
        <v>13</v>
      </c>
      <c r="C548" s="64" t="s">
        <v>54</v>
      </c>
      <c r="D548" s="65" t="s">
        <v>38</v>
      </c>
      <c r="E548" s="66">
        <f>0.606*E547</f>
        <v>0.85</v>
      </c>
      <c r="F548" s="29">
        <v>0</v>
      </c>
      <c r="G548" s="15"/>
      <c r="H548" s="29">
        <f t="shared" ref="H548:H549" si="43">E548*F548</f>
        <v>0</v>
      </c>
      <c r="I548" s="15"/>
      <c r="J548" s="1"/>
      <c r="K548" s="1"/>
      <c r="P548" s="1"/>
      <c r="Q548" s="1"/>
      <c r="R548" s="1"/>
      <c r="S548" s="1"/>
    </row>
    <row r="549" spans="1:19" ht="30.75" customHeight="1" x14ac:dyDescent="0.25">
      <c r="A549" s="10" t="s">
        <v>224</v>
      </c>
      <c r="B549" s="187" t="s">
        <v>13</v>
      </c>
      <c r="C549" s="115" t="s">
        <v>327</v>
      </c>
      <c r="D549" s="12" t="s">
        <v>57</v>
      </c>
      <c r="E549" s="12">
        <v>2.9</v>
      </c>
      <c r="F549" s="29">
        <v>0</v>
      </c>
      <c r="G549" s="94"/>
      <c r="H549" s="107">
        <f t="shared" si="43"/>
        <v>0</v>
      </c>
      <c r="I549" s="15"/>
      <c r="J549" s="1"/>
      <c r="K549" s="1"/>
      <c r="P549" s="1"/>
      <c r="Q549" s="1"/>
      <c r="R549" s="1"/>
      <c r="S549" s="1"/>
    </row>
    <row r="550" spans="1:19" ht="18.75" customHeight="1" x14ac:dyDescent="0.25">
      <c r="A550" s="16" t="s">
        <v>39</v>
      </c>
      <c r="B550" s="190" t="s">
        <v>9</v>
      </c>
      <c r="C550" s="17" t="s">
        <v>212</v>
      </c>
      <c r="D550" s="18" t="s">
        <v>14</v>
      </c>
      <c r="E550" s="18">
        <v>1</v>
      </c>
      <c r="F550" s="13"/>
      <c r="G550" s="110">
        <v>0</v>
      </c>
      <c r="H550" s="95"/>
      <c r="I550" s="54">
        <f>E550*G550</f>
        <v>0</v>
      </c>
      <c r="J550" s="1"/>
      <c r="K550" s="1"/>
      <c r="P550" s="1"/>
      <c r="Q550" s="1"/>
      <c r="R550" s="1"/>
      <c r="S550" s="1"/>
    </row>
    <row r="551" spans="1:19" ht="25.5" customHeight="1" x14ac:dyDescent="0.25">
      <c r="A551" s="10" t="s">
        <v>40</v>
      </c>
      <c r="B551" s="187" t="s">
        <v>13</v>
      </c>
      <c r="C551" s="11" t="s">
        <v>213</v>
      </c>
      <c r="D551" s="12" t="s">
        <v>14</v>
      </c>
      <c r="E551" s="12">
        <v>1</v>
      </c>
      <c r="F551" s="14">
        <v>0</v>
      </c>
      <c r="G551" s="94"/>
      <c r="H551" s="107">
        <f>E551*F551</f>
        <v>0</v>
      </c>
      <c r="I551" s="15"/>
      <c r="J551" s="1"/>
      <c r="K551" s="1"/>
      <c r="P551" s="1"/>
      <c r="Q551" s="1"/>
      <c r="R551" s="1"/>
      <c r="S551" s="1"/>
    </row>
    <row r="552" spans="1:19" ht="14.25" customHeight="1" x14ac:dyDescent="0.25">
      <c r="A552" s="10" t="s">
        <v>41</v>
      </c>
      <c r="B552" s="187" t="s">
        <v>13</v>
      </c>
      <c r="C552" s="11" t="s">
        <v>214</v>
      </c>
      <c r="D552" s="12" t="s">
        <v>14</v>
      </c>
      <c r="E552" s="12">
        <v>1</v>
      </c>
      <c r="F552" s="14">
        <v>0</v>
      </c>
      <c r="G552" s="94"/>
      <c r="H552" s="107">
        <f>E552*F552</f>
        <v>0</v>
      </c>
      <c r="I552" s="15"/>
      <c r="J552" s="1"/>
      <c r="K552" s="1"/>
      <c r="P552" s="1"/>
      <c r="Q552" s="1"/>
      <c r="R552" s="1"/>
      <c r="S552" s="1"/>
    </row>
    <row r="553" spans="1:19" ht="33.75" customHeight="1" x14ac:dyDescent="0.25">
      <c r="A553" s="16" t="s">
        <v>233</v>
      </c>
      <c r="B553" s="190" t="s">
        <v>9</v>
      </c>
      <c r="C553" s="17" t="s">
        <v>215</v>
      </c>
      <c r="D553" s="18" t="s">
        <v>53</v>
      </c>
      <c r="E553" s="18">
        <v>1.6</v>
      </c>
      <c r="F553" s="13"/>
      <c r="G553" s="110">
        <v>0</v>
      </c>
      <c r="H553" s="95"/>
      <c r="I553" s="54">
        <f>E553*G553</f>
        <v>0</v>
      </c>
      <c r="J553" s="1"/>
      <c r="K553" s="1"/>
      <c r="P553" s="1"/>
      <c r="Q553" s="1"/>
      <c r="R553" s="1"/>
      <c r="S553" s="1"/>
    </row>
    <row r="554" spans="1:19" ht="23.25" customHeight="1" thickBot="1" x14ac:dyDescent="0.3">
      <c r="A554" s="345" t="s">
        <v>42</v>
      </c>
      <c r="B554" s="346" t="s">
        <v>13</v>
      </c>
      <c r="C554" s="330" t="s">
        <v>191</v>
      </c>
      <c r="D554" s="342" t="s">
        <v>53</v>
      </c>
      <c r="E554" s="342">
        <v>1.6</v>
      </c>
      <c r="F554" s="347">
        <v>0</v>
      </c>
      <c r="G554" s="343"/>
      <c r="H554" s="344">
        <f>E554*F554</f>
        <v>0</v>
      </c>
      <c r="I554" s="334"/>
      <c r="J554" s="1"/>
      <c r="K554" s="1"/>
      <c r="P554" s="1"/>
      <c r="Q554" s="1"/>
      <c r="R554" s="1"/>
      <c r="S554" s="1"/>
    </row>
    <row r="555" spans="1:19" ht="15.75" thickBot="1" x14ac:dyDescent="0.3">
      <c r="A555" s="43"/>
      <c r="B555" s="191"/>
      <c r="C555" s="238" t="s">
        <v>407</v>
      </c>
      <c r="D555" s="46"/>
      <c r="E555" s="46"/>
      <c r="F555" s="119"/>
      <c r="G555" s="100"/>
      <c r="H555" s="113">
        <f>SUM(H548:H554)</f>
        <v>0</v>
      </c>
      <c r="I555" s="81">
        <f>SUM(I547:I554)</f>
        <v>0</v>
      </c>
      <c r="J555" s="1"/>
      <c r="K555" s="1"/>
      <c r="P555" s="1"/>
      <c r="Q555" s="1"/>
      <c r="R555" s="1"/>
      <c r="S555" s="1"/>
    </row>
    <row r="556" spans="1:19" ht="14.25" customHeight="1" thickBot="1" x14ac:dyDescent="0.3">
      <c r="A556" s="43"/>
      <c r="B556" s="214"/>
      <c r="C556" s="129" t="s">
        <v>328</v>
      </c>
      <c r="D556" s="46"/>
      <c r="E556" s="46"/>
      <c r="F556" s="91"/>
      <c r="G556" s="100"/>
      <c r="H556" s="113"/>
      <c r="I556" s="50"/>
      <c r="J556" s="1"/>
      <c r="K556" s="1"/>
      <c r="P556" s="1"/>
      <c r="Q556" s="1"/>
      <c r="R556" s="1"/>
      <c r="S556" s="1"/>
    </row>
    <row r="557" spans="1:19" ht="44.25" customHeight="1" x14ac:dyDescent="0.25">
      <c r="A557" s="92" t="s">
        <v>68</v>
      </c>
      <c r="B557" s="215" t="s">
        <v>9</v>
      </c>
      <c r="C557" s="164" t="s">
        <v>60</v>
      </c>
      <c r="D557" s="83" t="s">
        <v>53</v>
      </c>
      <c r="E557" s="83">
        <v>0.36</v>
      </c>
      <c r="F557" s="27"/>
      <c r="G557" s="110">
        <v>0</v>
      </c>
      <c r="H557" s="6"/>
      <c r="I557" s="40">
        <f>E557*G557</f>
        <v>0</v>
      </c>
      <c r="J557" s="1"/>
      <c r="K557" s="1"/>
      <c r="P557" s="1"/>
      <c r="Q557" s="1"/>
      <c r="R557" s="1"/>
      <c r="S557" s="1"/>
    </row>
    <row r="558" spans="1:19" ht="14.25" customHeight="1" x14ac:dyDescent="0.25">
      <c r="A558" s="106" t="s">
        <v>69</v>
      </c>
      <c r="B558" s="216" t="s">
        <v>13</v>
      </c>
      <c r="C558" s="114" t="s">
        <v>149</v>
      </c>
      <c r="D558" s="84" t="s">
        <v>38</v>
      </c>
      <c r="E558" s="165">
        <f>0.712*E557</f>
        <v>0.26</v>
      </c>
      <c r="F558" s="29">
        <v>0</v>
      </c>
      <c r="G558" s="94"/>
      <c r="H558" s="107">
        <f>E558*F558</f>
        <v>0</v>
      </c>
      <c r="I558" s="15"/>
      <c r="J558" s="1"/>
      <c r="K558" s="1"/>
      <c r="P558" s="1"/>
      <c r="Q558" s="1"/>
      <c r="R558" s="1"/>
      <c r="S558" s="1"/>
    </row>
    <row r="559" spans="1:19" x14ac:dyDescent="0.25">
      <c r="A559" s="10" t="s">
        <v>70</v>
      </c>
      <c r="B559" s="194" t="s">
        <v>13</v>
      </c>
      <c r="C559" s="64" t="s">
        <v>430</v>
      </c>
      <c r="D559" s="20" t="s">
        <v>57</v>
      </c>
      <c r="E559" s="20">
        <v>0.6</v>
      </c>
      <c r="F559" s="29">
        <v>0</v>
      </c>
      <c r="G559" s="94"/>
      <c r="H559" s="107">
        <f>E559*F559</f>
        <v>0</v>
      </c>
      <c r="I559" s="15"/>
      <c r="J559" s="1"/>
      <c r="K559" s="1">
        <f>0.6*0.6</f>
        <v>0.36</v>
      </c>
      <c r="P559" s="1"/>
      <c r="Q559" s="1"/>
      <c r="R559" s="1"/>
      <c r="S559" s="1"/>
    </row>
    <row r="560" spans="1:19" ht="60.75" customHeight="1" x14ac:dyDescent="0.25">
      <c r="A560" s="125">
        <v>12</v>
      </c>
      <c r="B560" s="186" t="s">
        <v>9</v>
      </c>
      <c r="C560" s="68" t="s">
        <v>206</v>
      </c>
      <c r="D560" s="83" t="s">
        <v>53</v>
      </c>
      <c r="E560" s="83">
        <f>0.12+62.4+0.64</f>
        <v>63.16</v>
      </c>
      <c r="F560" s="132"/>
      <c r="G560" s="130">
        <v>0</v>
      </c>
      <c r="H560" s="127"/>
      <c r="I560" s="59">
        <f>E560*G560</f>
        <v>0</v>
      </c>
      <c r="J560" s="1"/>
      <c r="K560" s="1">
        <f>K562+K563+K564</f>
        <v>63.16</v>
      </c>
      <c r="P560" s="1"/>
      <c r="Q560" s="1"/>
      <c r="R560" s="1"/>
      <c r="S560" s="1"/>
    </row>
    <row r="561" spans="1:19" ht="14.25" customHeight="1" x14ac:dyDescent="0.25">
      <c r="A561" s="10" t="s">
        <v>69</v>
      </c>
      <c r="B561" s="187" t="s">
        <v>13</v>
      </c>
      <c r="C561" s="11" t="s">
        <v>54</v>
      </c>
      <c r="D561" s="20" t="s">
        <v>38</v>
      </c>
      <c r="E561" s="70">
        <f>1.22*E560</f>
        <v>77.06</v>
      </c>
      <c r="F561" s="29">
        <v>0</v>
      </c>
      <c r="G561" s="94"/>
      <c r="H561" s="107">
        <f t="shared" ref="H561:H565" si="44">E561*F561</f>
        <v>0</v>
      </c>
      <c r="I561" s="15"/>
      <c r="J561" s="1"/>
      <c r="K561" s="1"/>
      <c r="P561" s="1"/>
      <c r="Q561" s="1"/>
      <c r="R561" s="1"/>
      <c r="S561" s="1"/>
    </row>
    <row r="562" spans="1:19" ht="30.75" customHeight="1" x14ac:dyDescent="0.25">
      <c r="A562" s="28" t="s">
        <v>70</v>
      </c>
      <c r="B562" s="182" t="s">
        <v>13</v>
      </c>
      <c r="C562" s="11" t="s">
        <v>329</v>
      </c>
      <c r="D562" s="20" t="s">
        <v>57</v>
      </c>
      <c r="E562" s="20">
        <v>0.1</v>
      </c>
      <c r="F562" s="29">
        <v>0</v>
      </c>
      <c r="G562" s="94"/>
      <c r="H562" s="107">
        <f t="shared" si="44"/>
        <v>0</v>
      </c>
      <c r="I562" s="15"/>
      <c r="J562" s="1"/>
      <c r="K562" s="1">
        <f>1.2*E562</f>
        <v>0.12</v>
      </c>
      <c r="P562" s="1"/>
      <c r="Q562" s="1"/>
      <c r="R562" s="1"/>
      <c r="S562" s="1"/>
    </row>
    <row r="563" spans="1:19" x14ac:dyDescent="0.25">
      <c r="A563" s="10" t="s">
        <v>71</v>
      </c>
      <c r="B563" s="182" t="s">
        <v>13</v>
      </c>
      <c r="C563" s="11" t="s">
        <v>433</v>
      </c>
      <c r="D563" s="84" t="s">
        <v>57</v>
      </c>
      <c r="E563" s="84">
        <v>52</v>
      </c>
      <c r="F563" s="29">
        <v>0</v>
      </c>
      <c r="G563" s="94"/>
      <c r="H563" s="107">
        <f t="shared" si="44"/>
        <v>0</v>
      </c>
      <c r="I563" s="15"/>
      <c r="J563" s="1"/>
      <c r="K563" s="1">
        <f>1.2*E563</f>
        <v>62.4</v>
      </c>
      <c r="P563" s="1"/>
      <c r="Q563" s="1"/>
      <c r="R563" s="1"/>
      <c r="S563" s="1"/>
    </row>
    <row r="564" spans="1:19" x14ac:dyDescent="0.25">
      <c r="A564" s="28" t="s">
        <v>431</v>
      </c>
      <c r="B564" s="216" t="s">
        <v>13</v>
      </c>
      <c r="C564" s="114" t="s">
        <v>434</v>
      </c>
      <c r="D564" s="84" t="s">
        <v>14</v>
      </c>
      <c r="E564" s="84">
        <v>1</v>
      </c>
      <c r="F564" s="29">
        <v>0</v>
      </c>
      <c r="G564" s="94"/>
      <c r="H564" s="107">
        <f t="shared" si="44"/>
        <v>0</v>
      </c>
      <c r="I564" s="15"/>
      <c r="J564" s="1"/>
      <c r="K564" s="1">
        <f>0.64*E564</f>
        <v>0.64</v>
      </c>
      <c r="P564" s="1"/>
      <c r="Q564" s="1"/>
      <c r="R564" s="1"/>
      <c r="S564" s="1"/>
    </row>
    <row r="565" spans="1:19" ht="16.5" customHeight="1" x14ac:dyDescent="0.25">
      <c r="A565" s="10" t="s">
        <v>432</v>
      </c>
      <c r="B565" s="351" t="s">
        <v>13</v>
      </c>
      <c r="C565" s="114" t="s">
        <v>220</v>
      </c>
      <c r="D565" s="84" t="s">
        <v>53</v>
      </c>
      <c r="E565" s="84">
        <v>0.1</v>
      </c>
      <c r="F565" s="29">
        <v>0</v>
      </c>
      <c r="G565" s="94"/>
      <c r="H565" s="107">
        <f t="shared" si="44"/>
        <v>0</v>
      </c>
      <c r="I565" s="15"/>
      <c r="J565" s="1"/>
      <c r="K565" s="1"/>
      <c r="P565" s="1"/>
      <c r="Q565" s="1"/>
      <c r="R565" s="1"/>
      <c r="S565" s="1"/>
    </row>
    <row r="566" spans="1:19" ht="28.5" x14ac:dyDescent="0.25">
      <c r="A566" s="25" t="s">
        <v>75</v>
      </c>
      <c r="B566" s="201" t="s">
        <v>174</v>
      </c>
      <c r="C566" s="17" t="s">
        <v>47</v>
      </c>
      <c r="D566" s="19" t="s">
        <v>14</v>
      </c>
      <c r="E566" s="19">
        <v>3</v>
      </c>
      <c r="F566" s="27"/>
      <c r="G566" s="110">
        <v>0</v>
      </c>
      <c r="H566" s="95"/>
      <c r="I566" s="54">
        <f>E566*G566</f>
        <v>0</v>
      </c>
      <c r="J566" s="1"/>
      <c r="K566" s="1"/>
      <c r="P566" s="1"/>
      <c r="Q566" s="1"/>
      <c r="R566" s="1"/>
      <c r="S566" s="1"/>
    </row>
    <row r="567" spans="1:19" ht="30" customHeight="1" x14ac:dyDescent="0.25">
      <c r="A567" s="28" t="s">
        <v>72</v>
      </c>
      <c r="B567" s="182" t="s">
        <v>13</v>
      </c>
      <c r="C567" s="11" t="s">
        <v>221</v>
      </c>
      <c r="D567" s="20" t="s">
        <v>14</v>
      </c>
      <c r="E567" s="329">
        <v>1</v>
      </c>
      <c r="F567" s="29">
        <v>0</v>
      </c>
      <c r="G567" s="94"/>
      <c r="H567" s="107">
        <f>E567*F567</f>
        <v>0</v>
      </c>
      <c r="I567" s="15"/>
      <c r="J567" s="1"/>
      <c r="K567" s="1"/>
      <c r="P567" s="1"/>
      <c r="Q567" s="1"/>
      <c r="R567" s="1"/>
      <c r="S567" s="1"/>
    </row>
    <row r="568" spans="1:19" ht="44.25" customHeight="1" x14ac:dyDescent="0.25">
      <c r="A568" s="106" t="s">
        <v>73</v>
      </c>
      <c r="B568" s="182" t="s">
        <v>13</v>
      </c>
      <c r="C568" s="114" t="s">
        <v>323</v>
      </c>
      <c r="D568" s="84" t="s">
        <v>14</v>
      </c>
      <c r="E568" s="84">
        <v>2</v>
      </c>
      <c r="F568" s="29">
        <v>0</v>
      </c>
      <c r="G568" s="94"/>
      <c r="H568" s="107">
        <f>E568*F568</f>
        <v>0</v>
      </c>
      <c r="I568" s="15"/>
      <c r="J568" s="1"/>
      <c r="K568" s="1"/>
      <c r="P568" s="1"/>
      <c r="Q568" s="1"/>
      <c r="R568" s="1"/>
      <c r="S568" s="1"/>
    </row>
    <row r="569" spans="1:19" ht="44.25" customHeight="1" x14ac:dyDescent="0.25">
      <c r="A569" s="87" t="s">
        <v>77</v>
      </c>
      <c r="B569" s="217" t="s">
        <v>9</v>
      </c>
      <c r="C569" s="17" t="s">
        <v>200</v>
      </c>
      <c r="D569" s="19" t="s">
        <v>53</v>
      </c>
      <c r="E569" s="12">
        <v>65.2</v>
      </c>
      <c r="F569" s="29"/>
      <c r="G569" s="94">
        <v>0</v>
      </c>
      <c r="H569" s="107"/>
      <c r="I569" s="15">
        <f>E569*G569</f>
        <v>0</v>
      </c>
      <c r="J569" s="1"/>
      <c r="K569" s="1"/>
      <c r="P569" s="1"/>
      <c r="Q569" s="1"/>
      <c r="R569" s="1"/>
      <c r="S569" s="1"/>
    </row>
    <row r="570" spans="1:19" x14ac:dyDescent="0.25">
      <c r="A570" s="86" t="s">
        <v>76</v>
      </c>
      <c r="B570" s="217" t="s">
        <v>13</v>
      </c>
      <c r="C570" s="167" t="s">
        <v>198</v>
      </c>
      <c r="D570" s="84" t="s">
        <v>53</v>
      </c>
      <c r="E570" s="12">
        <f>1.1*E569</f>
        <v>71.72</v>
      </c>
      <c r="F570" s="29">
        <v>0</v>
      </c>
      <c r="G570" s="94"/>
      <c r="H570" s="107">
        <f>E570*F570</f>
        <v>0</v>
      </c>
      <c r="I570" s="15"/>
      <c r="J570" s="1"/>
      <c r="K570" s="1"/>
      <c r="P570" s="1"/>
      <c r="Q570" s="1"/>
      <c r="R570" s="1"/>
      <c r="S570" s="1"/>
    </row>
    <row r="571" spans="1:19" x14ac:dyDescent="0.25">
      <c r="A571" s="86" t="s">
        <v>375</v>
      </c>
      <c r="B571" s="217" t="s">
        <v>13</v>
      </c>
      <c r="C571" s="11" t="s">
        <v>199</v>
      </c>
      <c r="D571" s="20" t="s">
        <v>38</v>
      </c>
      <c r="E571" s="12">
        <f>0.7*E569</f>
        <v>45.64</v>
      </c>
      <c r="F571" s="29">
        <v>0</v>
      </c>
      <c r="G571" s="94"/>
      <c r="H571" s="107">
        <f>E571*F571</f>
        <v>0</v>
      </c>
      <c r="I571" s="15"/>
      <c r="J571" s="1"/>
      <c r="K571" s="1"/>
      <c r="P571" s="1"/>
      <c r="Q571" s="1"/>
      <c r="R571" s="1"/>
      <c r="S571" s="1"/>
    </row>
    <row r="572" spans="1:19" ht="14.25" customHeight="1" x14ac:dyDescent="0.25">
      <c r="A572" s="92" t="s">
        <v>79</v>
      </c>
      <c r="B572" s="215" t="s">
        <v>9</v>
      </c>
      <c r="C572" s="166" t="s">
        <v>330</v>
      </c>
      <c r="D572" s="83" t="s">
        <v>14</v>
      </c>
      <c r="E572" s="83">
        <v>1</v>
      </c>
      <c r="F572" s="132"/>
      <c r="G572" s="130">
        <v>0</v>
      </c>
      <c r="H572" s="127"/>
      <c r="I572" s="59">
        <f>E572*G572</f>
        <v>0</v>
      </c>
      <c r="J572" s="1"/>
      <c r="K572" s="1"/>
      <c r="P572" s="1"/>
      <c r="Q572" s="1"/>
      <c r="R572" s="1"/>
      <c r="S572" s="1"/>
    </row>
    <row r="573" spans="1:19" ht="14.25" customHeight="1" x14ac:dyDescent="0.25">
      <c r="A573" s="106" t="s">
        <v>78</v>
      </c>
      <c r="B573" s="216" t="s">
        <v>13</v>
      </c>
      <c r="C573" s="114" t="s">
        <v>331</v>
      </c>
      <c r="D573" s="84" t="s">
        <v>14</v>
      </c>
      <c r="E573" s="84">
        <v>1</v>
      </c>
      <c r="F573" s="29">
        <v>0</v>
      </c>
      <c r="G573" s="94"/>
      <c r="H573" s="107">
        <f>E573*F573</f>
        <v>0</v>
      </c>
      <c r="I573" s="15"/>
      <c r="J573" s="1"/>
      <c r="K573" s="1"/>
      <c r="P573" s="1"/>
      <c r="Q573" s="1"/>
      <c r="R573" s="1"/>
      <c r="S573" s="1"/>
    </row>
    <row r="574" spans="1:19" ht="28.5" x14ac:dyDescent="0.25">
      <c r="A574" s="92" t="s">
        <v>85</v>
      </c>
      <c r="B574" s="215" t="s">
        <v>9</v>
      </c>
      <c r="C574" s="164" t="s">
        <v>333</v>
      </c>
      <c r="D574" s="83" t="s">
        <v>14</v>
      </c>
      <c r="E574" s="83">
        <v>2</v>
      </c>
      <c r="F574" s="27"/>
      <c r="G574" s="110">
        <v>0</v>
      </c>
      <c r="H574" s="95"/>
      <c r="I574" s="54">
        <f>E574*G574</f>
        <v>0</v>
      </c>
      <c r="J574" s="1"/>
      <c r="K574" s="1"/>
      <c r="P574" s="1"/>
      <c r="Q574" s="1"/>
      <c r="R574" s="1"/>
      <c r="S574" s="1"/>
    </row>
    <row r="575" spans="1:19" ht="15.75" thickBot="1" x14ac:dyDescent="0.3">
      <c r="A575" s="373" t="s">
        <v>80</v>
      </c>
      <c r="B575" s="374" t="s">
        <v>13</v>
      </c>
      <c r="C575" s="114" t="s">
        <v>332</v>
      </c>
      <c r="D575" s="85" t="s">
        <v>14</v>
      </c>
      <c r="E575" s="85">
        <v>2</v>
      </c>
      <c r="F575" s="333">
        <v>0</v>
      </c>
      <c r="G575" s="343"/>
      <c r="H575" s="104">
        <f>E575*F575</f>
        <v>0</v>
      </c>
      <c r="I575" s="42"/>
      <c r="J575" s="1"/>
      <c r="K575" s="1"/>
      <c r="P575" s="1"/>
      <c r="Q575" s="1"/>
      <c r="R575" s="1"/>
      <c r="S575" s="1"/>
    </row>
    <row r="576" spans="1:19" ht="15.75" thickBot="1" x14ac:dyDescent="0.3">
      <c r="A576" s="43"/>
      <c r="B576" s="214"/>
      <c r="C576" s="248" t="s">
        <v>407</v>
      </c>
      <c r="D576" s="46"/>
      <c r="E576" s="46"/>
      <c r="F576" s="119"/>
      <c r="G576" s="100"/>
      <c r="H576" s="113">
        <f>SUM(H558:H575)</f>
        <v>0</v>
      </c>
      <c r="I576" s="81">
        <f>SUM(I557:I575)</f>
        <v>0</v>
      </c>
      <c r="J576" s="1"/>
      <c r="K576" s="1"/>
      <c r="P576" s="1"/>
      <c r="Q576" s="1"/>
      <c r="R576" s="1"/>
      <c r="S576" s="1"/>
    </row>
    <row r="577" spans="1:19" ht="14.25" customHeight="1" thickBot="1" x14ac:dyDescent="0.3">
      <c r="A577" s="43"/>
      <c r="B577" s="214"/>
      <c r="C577" s="129" t="s">
        <v>596</v>
      </c>
      <c r="D577" s="46"/>
      <c r="E577" s="46"/>
      <c r="F577" s="91"/>
      <c r="G577" s="100"/>
      <c r="H577" s="113"/>
      <c r="I577" s="50"/>
      <c r="J577" s="1"/>
      <c r="K577" s="1"/>
      <c r="P577" s="1"/>
      <c r="Q577" s="1"/>
      <c r="R577" s="1"/>
      <c r="S577" s="1"/>
    </row>
    <row r="578" spans="1:19" ht="52.5" customHeight="1" x14ac:dyDescent="0.25">
      <c r="A578" s="89" t="s">
        <v>87</v>
      </c>
      <c r="B578" s="181" t="s">
        <v>9</v>
      </c>
      <c r="C578" s="5" t="s">
        <v>52</v>
      </c>
      <c r="D578" s="51" t="s">
        <v>53</v>
      </c>
      <c r="E578" s="4">
        <v>4.3499999999999996</v>
      </c>
      <c r="F578" s="8"/>
      <c r="G578" s="154">
        <v>0</v>
      </c>
      <c r="H578" s="6"/>
      <c r="I578" s="40">
        <f>E578*G578</f>
        <v>0</v>
      </c>
      <c r="J578" s="1"/>
      <c r="K578" s="1">
        <f>K580+K581+K582+K583+K584+K585+K586+K587+K588+K589</f>
        <v>4.3499999999999996</v>
      </c>
      <c r="P578" s="1"/>
      <c r="Q578" s="1"/>
      <c r="R578" s="1"/>
      <c r="S578" s="1"/>
    </row>
    <row r="579" spans="1:19" ht="14.25" customHeight="1" x14ac:dyDescent="0.25">
      <c r="A579" s="106" t="s">
        <v>88</v>
      </c>
      <c r="B579" s="253" t="s">
        <v>13</v>
      </c>
      <c r="C579" s="167" t="s">
        <v>149</v>
      </c>
      <c r="D579" s="84" t="s">
        <v>38</v>
      </c>
      <c r="E579" s="254">
        <f>0.606*E578</f>
        <v>2.64</v>
      </c>
      <c r="F579" s="57">
        <v>0</v>
      </c>
      <c r="G579" s="93"/>
      <c r="H579" s="116">
        <f>E579*F579</f>
        <v>0</v>
      </c>
      <c r="I579" s="112"/>
      <c r="J579" s="1"/>
      <c r="K579" s="1"/>
      <c r="P579" s="1"/>
      <c r="Q579" s="1"/>
      <c r="R579" s="1"/>
      <c r="S579" s="1"/>
    </row>
    <row r="580" spans="1:19" ht="14.25" customHeight="1" x14ac:dyDescent="0.25">
      <c r="A580" s="10" t="s">
        <v>89</v>
      </c>
      <c r="B580" s="349" t="s">
        <v>13</v>
      </c>
      <c r="C580" s="64" t="s">
        <v>195</v>
      </c>
      <c r="D580" s="20" t="s">
        <v>57</v>
      </c>
      <c r="E580" s="12">
        <v>6.1</v>
      </c>
      <c r="F580" s="14">
        <v>0</v>
      </c>
      <c r="G580" s="94"/>
      <c r="H580" s="107">
        <f>E580*F580</f>
        <v>0</v>
      </c>
      <c r="I580" s="15"/>
      <c r="J580" s="1"/>
      <c r="K580" s="1">
        <v>1.92</v>
      </c>
      <c r="L580" s="108">
        <v>6.1</v>
      </c>
      <c r="P580" s="1"/>
      <c r="Q580" s="1"/>
      <c r="R580" s="1"/>
      <c r="S580" s="1"/>
    </row>
    <row r="581" spans="1:19" ht="14.25" customHeight="1" x14ac:dyDescent="0.25">
      <c r="A581" s="106" t="s">
        <v>90</v>
      </c>
      <c r="B581" s="349" t="s">
        <v>13</v>
      </c>
      <c r="C581" s="64" t="s">
        <v>327</v>
      </c>
      <c r="D581" s="20" t="s">
        <v>57</v>
      </c>
      <c r="E581" s="12">
        <v>0.2</v>
      </c>
      <c r="F581" s="14">
        <v>0</v>
      </c>
      <c r="G581" s="94"/>
      <c r="H581" s="107">
        <f t="shared" ref="H581:H582" si="45">E581*F581</f>
        <v>0</v>
      </c>
      <c r="I581" s="15"/>
      <c r="J581" s="1"/>
      <c r="K581" s="1">
        <v>0.08</v>
      </c>
      <c r="P581" s="1"/>
      <c r="Q581" s="1"/>
      <c r="R581" s="1"/>
      <c r="S581" s="1"/>
    </row>
    <row r="582" spans="1:19" ht="14.25" customHeight="1" x14ac:dyDescent="0.25">
      <c r="A582" s="10" t="s">
        <v>390</v>
      </c>
      <c r="B582" s="349" t="s">
        <v>13</v>
      </c>
      <c r="C582" s="64" t="s">
        <v>334</v>
      </c>
      <c r="D582" s="20" t="s">
        <v>57</v>
      </c>
      <c r="E582" s="12">
        <v>0.3</v>
      </c>
      <c r="F582" s="14">
        <v>0</v>
      </c>
      <c r="G582" s="94"/>
      <c r="H582" s="107">
        <f t="shared" si="45"/>
        <v>0</v>
      </c>
      <c r="I582" s="15"/>
      <c r="J582" s="1"/>
      <c r="K582" s="1">
        <v>0.15</v>
      </c>
      <c r="P582" s="1"/>
      <c r="Q582" s="1"/>
      <c r="R582" s="1"/>
      <c r="S582" s="1"/>
    </row>
    <row r="583" spans="1:19" ht="14.25" customHeight="1" x14ac:dyDescent="0.25">
      <c r="A583" s="106" t="s">
        <v>391</v>
      </c>
      <c r="B583" s="349" t="s">
        <v>13</v>
      </c>
      <c r="C583" s="64" t="s">
        <v>225</v>
      </c>
      <c r="D583" s="20" t="s">
        <v>14</v>
      </c>
      <c r="E583" s="12">
        <f>1+1</f>
        <v>2</v>
      </c>
      <c r="F583" s="14">
        <v>0</v>
      </c>
      <c r="G583" s="94"/>
      <c r="H583" s="107">
        <f t="shared" ref="H583:H589" si="46">E583*F583</f>
        <v>0</v>
      </c>
      <c r="I583" s="15"/>
      <c r="J583" s="1"/>
      <c r="K583" s="1">
        <f>E583*0.1</f>
        <v>0.2</v>
      </c>
      <c r="P583" s="1"/>
      <c r="Q583" s="1"/>
      <c r="R583" s="1"/>
      <c r="S583" s="1"/>
    </row>
    <row r="584" spans="1:19" ht="14.25" customHeight="1" x14ac:dyDescent="0.25">
      <c r="A584" s="10" t="s">
        <v>392</v>
      </c>
      <c r="B584" s="349" t="s">
        <v>13</v>
      </c>
      <c r="C584" s="64" t="s">
        <v>226</v>
      </c>
      <c r="D584" s="20" t="s">
        <v>14</v>
      </c>
      <c r="E584" s="12">
        <f>1+1</f>
        <v>2</v>
      </c>
      <c r="F584" s="14">
        <v>0</v>
      </c>
      <c r="G584" s="94"/>
      <c r="H584" s="107">
        <f t="shared" si="46"/>
        <v>0</v>
      </c>
      <c r="I584" s="15"/>
      <c r="J584" s="1"/>
      <c r="K584" s="1">
        <f>E584*0.02</f>
        <v>0.04</v>
      </c>
      <c r="P584" s="1"/>
      <c r="Q584" s="1"/>
      <c r="R584" s="1"/>
      <c r="S584" s="1"/>
    </row>
    <row r="585" spans="1:19" ht="14.25" customHeight="1" x14ac:dyDescent="0.25">
      <c r="A585" s="106" t="s">
        <v>393</v>
      </c>
      <c r="B585" s="351" t="s">
        <v>13</v>
      </c>
      <c r="C585" s="64" t="s">
        <v>228</v>
      </c>
      <c r="D585" s="20" t="s">
        <v>14</v>
      </c>
      <c r="E585" s="20">
        <f>2+2</f>
        <v>4</v>
      </c>
      <c r="F585" s="14">
        <v>0</v>
      </c>
      <c r="G585" s="352"/>
      <c r="H585" s="107">
        <f t="shared" si="46"/>
        <v>0</v>
      </c>
      <c r="I585" s="353"/>
      <c r="J585" s="1"/>
      <c r="K585" s="1">
        <f>E585*0.07</f>
        <v>0.28000000000000003</v>
      </c>
      <c r="P585" s="1"/>
      <c r="Q585" s="1"/>
      <c r="R585" s="1"/>
      <c r="S585" s="1"/>
    </row>
    <row r="586" spans="1:19" ht="14.25" customHeight="1" x14ac:dyDescent="0.25">
      <c r="A586" s="10" t="s">
        <v>394</v>
      </c>
      <c r="B586" s="351" t="s">
        <v>13</v>
      </c>
      <c r="C586" s="64" t="s">
        <v>229</v>
      </c>
      <c r="D586" s="20" t="s">
        <v>14</v>
      </c>
      <c r="E586" s="20">
        <f>1+1+3</f>
        <v>5</v>
      </c>
      <c r="F586" s="14">
        <v>0</v>
      </c>
      <c r="G586" s="352"/>
      <c r="H586" s="107">
        <f t="shared" si="46"/>
        <v>0</v>
      </c>
      <c r="I586" s="353"/>
      <c r="J586" s="1"/>
      <c r="K586" s="1">
        <f>E586*0.1</f>
        <v>0.5</v>
      </c>
      <c r="P586" s="1"/>
      <c r="Q586" s="1"/>
      <c r="R586" s="1"/>
      <c r="S586" s="1"/>
    </row>
    <row r="587" spans="1:19" ht="33" customHeight="1" x14ac:dyDescent="0.25">
      <c r="A587" s="106" t="s">
        <v>395</v>
      </c>
      <c r="B587" s="351" t="s">
        <v>13</v>
      </c>
      <c r="C587" s="328" t="s">
        <v>336</v>
      </c>
      <c r="D587" s="84" t="s">
        <v>14</v>
      </c>
      <c r="E587" s="84">
        <v>4</v>
      </c>
      <c r="F587" s="57">
        <v>0</v>
      </c>
      <c r="G587" s="375"/>
      <c r="H587" s="107">
        <f t="shared" si="46"/>
        <v>0</v>
      </c>
      <c r="I587" s="376"/>
      <c r="J587" s="1"/>
      <c r="K587" s="1">
        <f>E587*0.21</f>
        <v>0.84</v>
      </c>
      <c r="P587" s="1"/>
      <c r="Q587" s="1"/>
      <c r="R587" s="1"/>
      <c r="S587" s="1"/>
    </row>
    <row r="588" spans="1:19" ht="33" customHeight="1" x14ac:dyDescent="0.25">
      <c r="A588" s="10" t="s">
        <v>396</v>
      </c>
      <c r="B588" s="351" t="s">
        <v>13</v>
      </c>
      <c r="C588" s="328" t="s">
        <v>337</v>
      </c>
      <c r="D588" s="84" t="s">
        <v>14</v>
      </c>
      <c r="E588" s="84">
        <v>1</v>
      </c>
      <c r="F588" s="57">
        <v>0</v>
      </c>
      <c r="G588" s="375"/>
      <c r="H588" s="107">
        <f t="shared" si="46"/>
        <v>0</v>
      </c>
      <c r="I588" s="376"/>
      <c r="J588" s="1"/>
      <c r="K588" s="1">
        <f>E588*0.29</f>
        <v>0.28999999999999998</v>
      </c>
      <c r="P588" s="1"/>
      <c r="Q588" s="1"/>
      <c r="R588" s="1"/>
      <c r="S588" s="1"/>
    </row>
    <row r="589" spans="1:19" ht="33" customHeight="1" x14ac:dyDescent="0.25">
      <c r="A589" s="106" t="s">
        <v>397</v>
      </c>
      <c r="B589" s="351" t="s">
        <v>13</v>
      </c>
      <c r="C589" s="328" t="s">
        <v>338</v>
      </c>
      <c r="D589" s="84" t="s">
        <v>14</v>
      </c>
      <c r="E589" s="84">
        <v>1</v>
      </c>
      <c r="F589" s="57">
        <v>0</v>
      </c>
      <c r="G589" s="375"/>
      <c r="H589" s="107">
        <f t="shared" si="46"/>
        <v>0</v>
      </c>
      <c r="I589" s="376"/>
      <c r="J589" s="1"/>
      <c r="K589" s="1">
        <f>1*0.05</f>
        <v>0.05</v>
      </c>
      <c r="P589" s="1"/>
      <c r="Q589" s="1"/>
      <c r="R589" s="1"/>
      <c r="S589" s="1"/>
    </row>
    <row r="590" spans="1:19" ht="54.75" customHeight="1" x14ac:dyDescent="0.25">
      <c r="A590" s="92" t="s">
        <v>91</v>
      </c>
      <c r="B590" s="228" t="s">
        <v>9</v>
      </c>
      <c r="C590" s="220" t="s">
        <v>136</v>
      </c>
      <c r="D590" s="83" t="s">
        <v>53</v>
      </c>
      <c r="E590" s="125">
        <v>155.97</v>
      </c>
      <c r="F590" s="58"/>
      <c r="G590" s="130">
        <v>0</v>
      </c>
      <c r="H590" s="127"/>
      <c r="I590" s="59">
        <f>E590*G590</f>
        <v>0</v>
      </c>
      <c r="J590" s="1"/>
      <c r="K590" s="1">
        <f>K592+K593+K596+K597+K598</f>
        <v>155.97</v>
      </c>
      <c r="P590" s="1"/>
      <c r="Q590" s="1"/>
      <c r="R590" s="1"/>
      <c r="S590" s="1"/>
    </row>
    <row r="591" spans="1:19" ht="14.25" customHeight="1" x14ac:dyDescent="0.25">
      <c r="A591" s="106" t="s">
        <v>92</v>
      </c>
      <c r="B591" s="253" t="s">
        <v>13</v>
      </c>
      <c r="C591" s="167" t="s">
        <v>149</v>
      </c>
      <c r="D591" s="84" t="s">
        <v>38</v>
      </c>
      <c r="E591" s="254">
        <f>0.606*E590</f>
        <v>94.52</v>
      </c>
      <c r="F591" s="57">
        <v>0</v>
      </c>
      <c r="G591" s="93"/>
      <c r="H591" s="116">
        <f>E591*F591</f>
        <v>0</v>
      </c>
      <c r="I591" s="112"/>
      <c r="J591" s="1"/>
      <c r="K591" s="1"/>
      <c r="P591" s="1"/>
      <c r="Q591" s="1"/>
      <c r="R591" s="1"/>
      <c r="S591" s="1"/>
    </row>
    <row r="592" spans="1:19" ht="21" customHeight="1" x14ac:dyDescent="0.25">
      <c r="A592" s="10" t="s">
        <v>93</v>
      </c>
      <c r="B592" s="349" t="s">
        <v>13</v>
      </c>
      <c r="C592" s="64" t="s">
        <v>196</v>
      </c>
      <c r="D592" s="20" t="s">
        <v>57</v>
      </c>
      <c r="E592" s="12">
        <v>407</v>
      </c>
      <c r="F592" s="14">
        <v>0</v>
      </c>
      <c r="G592" s="94"/>
      <c r="H592" s="107">
        <f>E592*F592</f>
        <v>0</v>
      </c>
      <c r="I592" s="15"/>
      <c r="J592" s="1"/>
      <c r="K592" s="1">
        <v>127.86</v>
      </c>
      <c r="L592" s="108">
        <f>48.1+48.2+50.2+51.7+48+51.1+53.7+56</f>
        <v>407</v>
      </c>
      <c r="P592" s="1"/>
      <c r="Q592" s="1"/>
      <c r="R592" s="1"/>
      <c r="S592" s="1"/>
    </row>
    <row r="593" spans="1:19" ht="21" customHeight="1" x14ac:dyDescent="0.25">
      <c r="A593" s="106" t="s">
        <v>94</v>
      </c>
      <c r="B593" s="349" t="s">
        <v>13</v>
      </c>
      <c r="C593" s="64" t="s">
        <v>335</v>
      </c>
      <c r="D593" s="20" t="s">
        <v>57</v>
      </c>
      <c r="E593" s="20">
        <v>50.8</v>
      </c>
      <c r="F593" s="14">
        <v>0</v>
      </c>
      <c r="G593" s="352"/>
      <c r="H593" s="107">
        <f t="shared" ref="H593:H598" si="47">E593*F593</f>
        <v>0</v>
      </c>
      <c r="I593" s="353"/>
      <c r="J593" s="1"/>
      <c r="K593" s="1">
        <v>25.53</v>
      </c>
      <c r="P593" s="1"/>
      <c r="Q593" s="1"/>
      <c r="R593" s="1"/>
      <c r="S593" s="1"/>
    </row>
    <row r="594" spans="1:19" ht="21" customHeight="1" x14ac:dyDescent="0.25">
      <c r="A594" s="10" t="s">
        <v>398</v>
      </c>
      <c r="B594" s="216" t="s">
        <v>13</v>
      </c>
      <c r="C594" s="114" t="s">
        <v>342</v>
      </c>
      <c r="D594" s="84" t="s">
        <v>14</v>
      </c>
      <c r="E594" s="84">
        <v>8</v>
      </c>
      <c r="F594" s="29">
        <v>0</v>
      </c>
      <c r="G594" s="94"/>
      <c r="H594" s="107">
        <f>E594*F594</f>
        <v>0</v>
      </c>
      <c r="I594" s="15"/>
      <c r="J594" s="1"/>
      <c r="K594" s="1"/>
      <c r="P594" s="1"/>
      <c r="Q594" s="1"/>
      <c r="R594" s="1"/>
      <c r="S594" s="1"/>
    </row>
    <row r="595" spans="1:19" ht="21" customHeight="1" x14ac:dyDescent="0.25">
      <c r="A595" s="106" t="s">
        <v>399</v>
      </c>
      <c r="B595" s="216" t="s">
        <v>13</v>
      </c>
      <c r="C595" s="114" t="s">
        <v>343</v>
      </c>
      <c r="D595" s="84" t="s">
        <v>14</v>
      </c>
      <c r="E595" s="84">
        <v>1</v>
      </c>
      <c r="F595" s="29">
        <v>0</v>
      </c>
      <c r="G595" s="352"/>
      <c r="H595" s="107">
        <f>E595*F595</f>
        <v>0</v>
      </c>
      <c r="I595" s="353"/>
      <c r="J595" s="1"/>
      <c r="K595" s="1"/>
      <c r="P595" s="1"/>
      <c r="Q595" s="1"/>
      <c r="R595" s="1"/>
      <c r="S595" s="1"/>
    </row>
    <row r="596" spans="1:19" ht="14.25" customHeight="1" x14ac:dyDescent="0.25">
      <c r="A596" s="10" t="s">
        <v>400</v>
      </c>
      <c r="B596" s="351" t="s">
        <v>13</v>
      </c>
      <c r="C596" s="64" t="s">
        <v>227</v>
      </c>
      <c r="D596" s="20" t="s">
        <v>14</v>
      </c>
      <c r="E596" s="20">
        <v>22</v>
      </c>
      <c r="F596" s="14">
        <v>0</v>
      </c>
      <c r="G596" s="352"/>
      <c r="H596" s="107">
        <f t="shared" si="47"/>
        <v>0</v>
      </c>
      <c r="I596" s="353"/>
      <c r="J596" s="1"/>
      <c r="K596" s="1">
        <f>E596*0.1</f>
        <v>2.2000000000000002</v>
      </c>
      <c r="P596" s="1"/>
      <c r="Q596" s="1"/>
      <c r="R596" s="1"/>
      <c r="S596" s="1"/>
    </row>
    <row r="597" spans="1:19" ht="14.25" customHeight="1" x14ac:dyDescent="0.25">
      <c r="A597" s="106" t="s">
        <v>401</v>
      </c>
      <c r="B597" s="351" t="s">
        <v>13</v>
      </c>
      <c r="C597" s="64" t="s">
        <v>597</v>
      </c>
      <c r="D597" s="20" t="s">
        <v>14</v>
      </c>
      <c r="E597" s="20">
        <v>1</v>
      </c>
      <c r="F597" s="14">
        <v>0</v>
      </c>
      <c r="G597" s="352"/>
      <c r="H597" s="107">
        <f t="shared" si="47"/>
        <v>0</v>
      </c>
      <c r="I597" s="353"/>
      <c r="J597" s="1"/>
      <c r="K597" s="1">
        <f>E597*0.06</f>
        <v>0.06</v>
      </c>
      <c r="P597" s="1"/>
      <c r="Q597" s="1"/>
      <c r="R597" s="1"/>
      <c r="S597" s="1"/>
    </row>
    <row r="598" spans="1:19" x14ac:dyDescent="0.25">
      <c r="A598" s="10" t="s">
        <v>420</v>
      </c>
      <c r="B598" s="351" t="s">
        <v>13</v>
      </c>
      <c r="C598" s="114" t="s">
        <v>435</v>
      </c>
      <c r="D598" s="84" t="s">
        <v>14</v>
      </c>
      <c r="E598" s="84">
        <v>2</v>
      </c>
      <c r="F598" s="14">
        <v>0</v>
      </c>
      <c r="G598" s="94"/>
      <c r="H598" s="107">
        <f t="shared" si="47"/>
        <v>0</v>
      </c>
      <c r="I598" s="15"/>
      <c r="J598" s="1"/>
      <c r="K598" s="1">
        <f>E598*0.16</f>
        <v>0.32</v>
      </c>
      <c r="P598" s="1"/>
      <c r="Q598" s="1"/>
      <c r="R598" s="1"/>
      <c r="S598" s="1"/>
    </row>
    <row r="599" spans="1:19" ht="42" customHeight="1" x14ac:dyDescent="0.25">
      <c r="A599" s="92" t="s">
        <v>95</v>
      </c>
      <c r="B599" s="215" t="s">
        <v>9</v>
      </c>
      <c r="C599" s="164" t="s">
        <v>339</v>
      </c>
      <c r="D599" s="83" t="s">
        <v>14</v>
      </c>
      <c r="E599" s="83">
        <v>9</v>
      </c>
      <c r="F599" s="27"/>
      <c r="G599" s="110">
        <v>0</v>
      </c>
      <c r="H599" s="95"/>
      <c r="I599" s="54">
        <f>E599*G599</f>
        <v>0</v>
      </c>
      <c r="J599" s="1"/>
      <c r="K599" s="1"/>
      <c r="P599" s="1"/>
      <c r="Q599" s="1"/>
      <c r="R599" s="1"/>
      <c r="S599" s="1"/>
    </row>
    <row r="600" spans="1:19" ht="30.75" customHeight="1" x14ac:dyDescent="0.25">
      <c r="A600" s="106" t="s">
        <v>96</v>
      </c>
      <c r="B600" s="216" t="s">
        <v>13</v>
      </c>
      <c r="C600" s="114" t="s">
        <v>340</v>
      </c>
      <c r="D600" s="84" t="s">
        <v>14</v>
      </c>
      <c r="E600" s="84">
        <v>8</v>
      </c>
      <c r="F600" s="29">
        <v>0</v>
      </c>
      <c r="G600" s="94"/>
      <c r="H600" s="107">
        <f>E600*F600</f>
        <v>0</v>
      </c>
      <c r="I600" s="15"/>
      <c r="J600" s="1"/>
      <c r="K600" s="1"/>
      <c r="P600" s="1"/>
      <c r="Q600" s="1"/>
      <c r="R600" s="1"/>
      <c r="S600" s="1"/>
    </row>
    <row r="601" spans="1:19" ht="30" customHeight="1" x14ac:dyDescent="0.25">
      <c r="A601" s="106" t="s">
        <v>97</v>
      </c>
      <c r="B601" s="216" t="s">
        <v>13</v>
      </c>
      <c r="C601" s="114" t="s">
        <v>341</v>
      </c>
      <c r="D601" s="84" t="s">
        <v>14</v>
      </c>
      <c r="E601" s="84">
        <v>1</v>
      </c>
      <c r="F601" s="29">
        <v>0</v>
      </c>
      <c r="G601" s="94"/>
      <c r="H601" s="107">
        <f>E601*F601</f>
        <v>0</v>
      </c>
      <c r="I601" s="15"/>
      <c r="J601" s="1"/>
      <c r="K601" s="1"/>
      <c r="P601" s="1"/>
      <c r="Q601" s="1"/>
      <c r="R601" s="1"/>
      <c r="S601" s="1"/>
    </row>
    <row r="602" spans="1:19" ht="38.25" customHeight="1" x14ac:dyDescent="0.25">
      <c r="A602" s="92" t="s">
        <v>98</v>
      </c>
      <c r="B602" s="215" t="s">
        <v>9</v>
      </c>
      <c r="C602" s="21" t="s">
        <v>126</v>
      </c>
      <c r="D602" s="83" t="s">
        <v>14</v>
      </c>
      <c r="E602" s="83">
        <v>2</v>
      </c>
      <c r="F602" s="27"/>
      <c r="G602" s="110">
        <v>0</v>
      </c>
      <c r="H602" s="95"/>
      <c r="I602" s="54">
        <f>E602*G602</f>
        <v>0</v>
      </c>
      <c r="J602" s="1"/>
      <c r="K602" s="1"/>
      <c r="P602" s="1"/>
      <c r="Q602" s="1"/>
      <c r="R602" s="1"/>
      <c r="S602" s="1"/>
    </row>
    <row r="603" spans="1:19" x14ac:dyDescent="0.25">
      <c r="A603" s="106" t="s">
        <v>99</v>
      </c>
      <c r="B603" s="216" t="s">
        <v>13</v>
      </c>
      <c r="C603" s="114" t="s">
        <v>344</v>
      </c>
      <c r="D603" s="84" t="s">
        <v>14</v>
      </c>
      <c r="E603" s="84">
        <f>2</f>
        <v>2</v>
      </c>
      <c r="F603" s="29">
        <v>0</v>
      </c>
      <c r="G603" s="94"/>
      <c r="H603" s="107">
        <f>E603*F603</f>
        <v>0</v>
      </c>
      <c r="I603" s="15"/>
      <c r="J603" s="1"/>
      <c r="K603" s="1"/>
      <c r="P603" s="1"/>
      <c r="Q603" s="1"/>
      <c r="R603" s="1"/>
      <c r="S603" s="1"/>
    </row>
    <row r="604" spans="1:19" ht="28.5" x14ac:dyDescent="0.25">
      <c r="A604" s="92" t="s">
        <v>104</v>
      </c>
      <c r="B604" s="215" t="s">
        <v>9</v>
      </c>
      <c r="C604" s="17" t="s">
        <v>460</v>
      </c>
      <c r="D604" s="83" t="s">
        <v>14</v>
      </c>
      <c r="E604" s="83">
        <v>4</v>
      </c>
      <c r="F604" s="27"/>
      <c r="G604" s="110">
        <v>0</v>
      </c>
      <c r="H604" s="95"/>
      <c r="I604" s="54">
        <f>E604*G604</f>
        <v>0</v>
      </c>
      <c r="J604" s="1"/>
      <c r="K604" s="1"/>
      <c r="P604" s="1"/>
      <c r="Q604" s="1"/>
      <c r="R604" s="1"/>
      <c r="S604" s="1"/>
    </row>
    <row r="605" spans="1:19" ht="14.25" customHeight="1" x14ac:dyDescent="0.25">
      <c r="A605" s="106" t="s">
        <v>133</v>
      </c>
      <c r="B605" s="216" t="s">
        <v>13</v>
      </c>
      <c r="C605" s="114" t="s">
        <v>345</v>
      </c>
      <c r="D605" s="84" t="s">
        <v>14</v>
      </c>
      <c r="E605" s="84">
        <v>3</v>
      </c>
      <c r="F605" s="29">
        <v>0</v>
      </c>
      <c r="G605" s="94"/>
      <c r="H605" s="107">
        <f>E605*F605</f>
        <v>0</v>
      </c>
      <c r="I605" s="15"/>
      <c r="J605" s="1"/>
      <c r="K605" s="1"/>
      <c r="P605" s="1"/>
      <c r="Q605" s="1"/>
      <c r="R605" s="1"/>
      <c r="S605" s="1"/>
    </row>
    <row r="606" spans="1:19" ht="14.25" customHeight="1" x14ac:dyDescent="0.25">
      <c r="A606" s="106" t="s">
        <v>128</v>
      </c>
      <c r="B606" s="216" t="s">
        <v>13</v>
      </c>
      <c r="C606" s="114" t="s">
        <v>346</v>
      </c>
      <c r="D606" s="84"/>
      <c r="E606" s="84">
        <v>1</v>
      </c>
      <c r="F606" s="29">
        <v>0</v>
      </c>
      <c r="G606" s="94"/>
      <c r="H606" s="107">
        <f>E606*F606</f>
        <v>0</v>
      </c>
      <c r="I606" s="15"/>
      <c r="J606" s="1"/>
      <c r="K606" s="1"/>
      <c r="P606" s="1"/>
      <c r="Q606" s="1"/>
      <c r="R606" s="1"/>
      <c r="S606" s="1"/>
    </row>
    <row r="607" spans="1:19" ht="14.25" customHeight="1" x14ac:dyDescent="0.25">
      <c r="A607" s="92" t="s">
        <v>106</v>
      </c>
      <c r="B607" s="215" t="s">
        <v>9</v>
      </c>
      <c r="C607" s="164" t="s">
        <v>347</v>
      </c>
      <c r="D607" s="83" t="s">
        <v>14</v>
      </c>
      <c r="E607" s="83">
        <v>3</v>
      </c>
      <c r="F607" s="27"/>
      <c r="G607" s="110">
        <v>0</v>
      </c>
      <c r="H607" s="95"/>
      <c r="I607" s="54">
        <f>E607*G607</f>
        <v>0</v>
      </c>
      <c r="J607" s="1"/>
      <c r="K607" s="1"/>
      <c r="P607" s="1"/>
      <c r="Q607" s="1"/>
      <c r="R607" s="1"/>
      <c r="S607" s="1"/>
    </row>
    <row r="608" spans="1:19" ht="14.25" customHeight="1" x14ac:dyDescent="0.25">
      <c r="A608" s="10" t="s">
        <v>105</v>
      </c>
      <c r="B608" s="194" t="s">
        <v>13</v>
      </c>
      <c r="C608" s="64" t="s">
        <v>348</v>
      </c>
      <c r="D608" s="84" t="s">
        <v>14</v>
      </c>
      <c r="E608" s="84">
        <v>3</v>
      </c>
      <c r="F608" s="29">
        <v>0</v>
      </c>
      <c r="G608" s="94"/>
      <c r="H608" s="107">
        <f>E608*F608</f>
        <v>0</v>
      </c>
      <c r="I608" s="15"/>
      <c r="J608" s="1"/>
      <c r="K608" s="1"/>
      <c r="P608" s="1"/>
      <c r="Q608" s="1"/>
      <c r="R608" s="1"/>
      <c r="S608" s="1"/>
    </row>
    <row r="609" spans="1:19" ht="33" customHeight="1" x14ac:dyDescent="0.25">
      <c r="A609" s="82" t="s">
        <v>107</v>
      </c>
      <c r="B609" s="196" t="s">
        <v>9</v>
      </c>
      <c r="C609" s="131" t="s">
        <v>240</v>
      </c>
      <c r="D609" s="125" t="s">
        <v>14</v>
      </c>
      <c r="E609" s="125">
        <v>1</v>
      </c>
      <c r="F609" s="132"/>
      <c r="G609" s="130">
        <v>0</v>
      </c>
      <c r="H609" s="127"/>
      <c r="I609" s="59">
        <f>E609*G609</f>
        <v>0</v>
      </c>
      <c r="J609" s="1"/>
      <c r="K609" s="1"/>
      <c r="P609" s="1"/>
      <c r="Q609" s="1"/>
      <c r="R609" s="1"/>
      <c r="S609" s="1"/>
    </row>
    <row r="610" spans="1:19" ht="38.25" customHeight="1" x14ac:dyDescent="0.25">
      <c r="A610" s="362" t="s">
        <v>108</v>
      </c>
      <c r="B610" s="363" t="s">
        <v>13</v>
      </c>
      <c r="C610" s="364" t="s">
        <v>241</v>
      </c>
      <c r="D610" s="338" t="s">
        <v>14</v>
      </c>
      <c r="E610" s="338">
        <v>1</v>
      </c>
      <c r="F610" s="336">
        <v>0</v>
      </c>
      <c r="G610" s="93"/>
      <c r="H610" s="116">
        <f>E610*F610</f>
        <v>0</v>
      </c>
      <c r="I610" s="112"/>
      <c r="J610" s="1"/>
      <c r="K610" s="1"/>
      <c r="P610" s="1"/>
      <c r="Q610" s="1"/>
      <c r="R610" s="1"/>
      <c r="S610" s="1"/>
    </row>
    <row r="611" spans="1:19" ht="32.25" customHeight="1" x14ac:dyDescent="0.25">
      <c r="A611" s="82" t="s">
        <v>110</v>
      </c>
      <c r="B611" s="196" t="s">
        <v>9</v>
      </c>
      <c r="C611" s="131" t="s">
        <v>10</v>
      </c>
      <c r="D611" s="125" t="s">
        <v>14</v>
      </c>
      <c r="E611" s="125">
        <v>8</v>
      </c>
      <c r="F611" s="132"/>
      <c r="G611" s="130">
        <v>0</v>
      </c>
      <c r="H611" s="127"/>
      <c r="I611" s="59">
        <f>E611*G611</f>
        <v>0</v>
      </c>
      <c r="J611" s="1"/>
      <c r="K611" s="1"/>
      <c r="P611" s="1"/>
      <c r="Q611" s="1"/>
      <c r="R611" s="1"/>
      <c r="S611" s="1"/>
    </row>
    <row r="612" spans="1:19" ht="35.25" customHeight="1" x14ac:dyDescent="0.25">
      <c r="A612" s="139" t="s">
        <v>111</v>
      </c>
      <c r="B612" s="217" t="s">
        <v>13</v>
      </c>
      <c r="C612" s="64" t="s">
        <v>242</v>
      </c>
      <c r="D612" s="140" t="s">
        <v>14</v>
      </c>
      <c r="E612" s="140">
        <v>8</v>
      </c>
      <c r="F612" s="141">
        <v>0</v>
      </c>
      <c r="G612" s="142"/>
      <c r="H612" s="107">
        <f>E612*F612</f>
        <v>0</v>
      </c>
      <c r="I612" s="144"/>
      <c r="J612" s="1"/>
      <c r="K612" s="1"/>
      <c r="P612" s="1"/>
      <c r="Q612" s="1"/>
      <c r="R612" s="1"/>
      <c r="S612" s="1"/>
    </row>
    <row r="613" spans="1:19" ht="33.75" customHeight="1" x14ac:dyDescent="0.25">
      <c r="A613" s="10" t="s">
        <v>112</v>
      </c>
      <c r="B613" s="217" t="s">
        <v>13</v>
      </c>
      <c r="C613" s="115" t="s">
        <v>349</v>
      </c>
      <c r="D613" s="20" t="s">
        <v>14</v>
      </c>
      <c r="E613" s="20">
        <v>1</v>
      </c>
      <c r="F613" s="29">
        <v>0</v>
      </c>
      <c r="G613" s="94"/>
      <c r="H613" s="143">
        <f>E613*F613</f>
        <v>0</v>
      </c>
      <c r="I613" s="15"/>
      <c r="J613" s="1"/>
      <c r="K613" s="1"/>
      <c r="P613" s="1"/>
      <c r="Q613" s="1"/>
      <c r="R613" s="1"/>
      <c r="S613" s="1"/>
    </row>
    <row r="614" spans="1:19" ht="27" customHeight="1" x14ac:dyDescent="0.25">
      <c r="A614" s="16" t="s">
        <v>113</v>
      </c>
      <c r="B614" s="192" t="s">
        <v>9</v>
      </c>
      <c r="C614" s="21" t="s">
        <v>231</v>
      </c>
      <c r="D614" s="22" t="s">
        <v>14</v>
      </c>
      <c r="E614" s="22">
        <v>9</v>
      </c>
      <c r="F614" s="23"/>
      <c r="G614" s="111">
        <v>0</v>
      </c>
      <c r="H614" s="95"/>
      <c r="I614" s="24">
        <f>E614*G614</f>
        <v>0</v>
      </c>
      <c r="J614" s="1"/>
      <c r="K614" s="1"/>
      <c r="P614" s="1"/>
      <c r="Q614" s="1"/>
      <c r="R614" s="1"/>
      <c r="S614" s="1"/>
    </row>
    <row r="615" spans="1:19" ht="30" x14ac:dyDescent="0.25">
      <c r="A615" s="10" t="s">
        <v>114</v>
      </c>
      <c r="B615" s="354" t="s">
        <v>13</v>
      </c>
      <c r="C615" s="328" t="s">
        <v>232</v>
      </c>
      <c r="D615" s="355" t="s">
        <v>14</v>
      </c>
      <c r="E615" s="355">
        <v>8</v>
      </c>
      <c r="F615" s="356">
        <v>0</v>
      </c>
      <c r="G615" s="357"/>
      <c r="H615" s="358">
        <f>E615*F615</f>
        <v>0</v>
      </c>
      <c r="I615" s="15"/>
      <c r="J615" s="1"/>
      <c r="K615" s="1"/>
      <c r="P615" s="1"/>
      <c r="Q615" s="1"/>
      <c r="R615" s="1"/>
      <c r="S615" s="1"/>
    </row>
    <row r="616" spans="1:19" ht="28.5" customHeight="1" x14ac:dyDescent="0.25">
      <c r="A616" s="106" t="s">
        <v>115</v>
      </c>
      <c r="B616" s="354" t="s">
        <v>13</v>
      </c>
      <c r="C616" s="328" t="s">
        <v>350</v>
      </c>
      <c r="D616" s="355" t="s">
        <v>14</v>
      </c>
      <c r="E616" s="84">
        <v>1</v>
      </c>
      <c r="F616" s="356">
        <v>0</v>
      </c>
      <c r="G616" s="94"/>
      <c r="H616" s="358">
        <f t="shared" ref="H616" si="48">E616*F616</f>
        <v>0</v>
      </c>
      <c r="I616" s="15"/>
      <c r="J616" s="1"/>
      <c r="K616" s="1"/>
      <c r="P616" s="1"/>
      <c r="Q616" s="1"/>
      <c r="R616" s="1"/>
      <c r="S616" s="1"/>
    </row>
    <row r="617" spans="1:19" ht="33.75" customHeight="1" x14ac:dyDescent="0.25">
      <c r="A617" s="87" t="s">
        <v>116</v>
      </c>
      <c r="B617" s="229" t="s">
        <v>9</v>
      </c>
      <c r="C617" s="17" t="s">
        <v>200</v>
      </c>
      <c r="D617" s="19" t="s">
        <v>53</v>
      </c>
      <c r="E617" s="12">
        <v>169.7</v>
      </c>
      <c r="F617" s="29"/>
      <c r="G617" s="94">
        <v>0</v>
      </c>
      <c r="H617" s="107"/>
      <c r="I617" s="15">
        <f>E617*G617</f>
        <v>0</v>
      </c>
      <c r="J617" s="1"/>
      <c r="K617" s="1">
        <f>16.8+16.8+18+18.2+16.7+18.1+28.2+22</f>
        <v>154.80000000000001</v>
      </c>
      <c r="L617" s="108">
        <f>16.8+16.8+17.5+18.1+16.7+17.8+27.7+18.8+19.5</f>
        <v>169.7</v>
      </c>
      <c r="P617" s="1"/>
      <c r="Q617" s="1"/>
      <c r="R617" s="1"/>
      <c r="S617" s="1"/>
    </row>
    <row r="618" spans="1:19" ht="14.25" customHeight="1" x14ac:dyDescent="0.25">
      <c r="A618" s="86" t="s">
        <v>117</v>
      </c>
      <c r="B618" s="217" t="s">
        <v>13</v>
      </c>
      <c r="C618" s="167" t="s">
        <v>198</v>
      </c>
      <c r="D618" s="84" t="s">
        <v>53</v>
      </c>
      <c r="E618" s="12">
        <f>1.1*E617</f>
        <v>186.67</v>
      </c>
      <c r="F618" s="29">
        <v>0</v>
      </c>
      <c r="G618" s="94"/>
      <c r="H618" s="107">
        <f>E618*F618</f>
        <v>0</v>
      </c>
      <c r="I618" s="15"/>
      <c r="J618" s="1"/>
      <c r="K618" s="1"/>
      <c r="P618" s="1"/>
      <c r="Q618" s="1"/>
      <c r="R618" s="1"/>
      <c r="S618" s="1"/>
    </row>
    <row r="619" spans="1:19" ht="14.25" customHeight="1" thickBot="1" x14ac:dyDescent="0.3">
      <c r="A619" s="350" t="s">
        <v>118</v>
      </c>
      <c r="B619" s="340" t="s">
        <v>13</v>
      </c>
      <c r="C619" s="330" t="s">
        <v>199</v>
      </c>
      <c r="D619" s="331" t="s">
        <v>38</v>
      </c>
      <c r="E619" s="342">
        <f>0.7*E617</f>
        <v>118.79</v>
      </c>
      <c r="F619" s="333">
        <v>0</v>
      </c>
      <c r="G619" s="343"/>
      <c r="H619" s="344">
        <f>E619*F619</f>
        <v>0</v>
      </c>
      <c r="I619" s="334"/>
      <c r="J619" s="1"/>
      <c r="K619" s="1"/>
      <c r="P619" s="1"/>
      <c r="Q619" s="1"/>
      <c r="R619" s="1"/>
      <c r="S619" s="1"/>
    </row>
    <row r="620" spans="1:19" ht="14.25" customHeight="1" thickBot="1" x14ac:dyDescent="0.3">
      <c r="A620" s="43"/>
      <c r="B620" s="214"/>
      <c r="C620" s="248" t="s">
        <v>407</v>
      </c>
      <c r="D620" s="46"/>
      <c r="E620" s="46"/>
      <c r="F620" s="91"/>
      <c r="G620" s="100"/>
      <c r="H620" s="113">
        <f>SUM(H579:H619)</f>
        <v>0</v>
      </c>
      <c r="I620" s="81">
        <f>SUM(I578:I619)</f>
        <v>0</v>
      </c>
      <c r="J620" s="1"/>
      <c r="K620" s="1"/>
      <c r="P620" s="1"/>
      <c r="Q620" s="1"/>
      <c r="R620" s="1"/>
      <c r="S620" s="1"/>
    </row>
    <row r="621" spans="1:19" ht="14.25" customHeight="1" thickBot="1" x14ac:dyDescent="0.3">
      <c r="A621" s="43"/>
      <c r="B621" s="214"/>
      <c r="C621" s="260" t="s">
        <v>44</v>
      </c>
      <c r="D621" s="46"/>
      <c r="E621" s="46"/>
      <c r="F621" s="91"/>
      <c r="G621" s="100"/>
      <c r="H621" s="113">
        <f>H545+H555+H576+H620</f>
        <v>0</v>
      </c>
      <c r="I621" s="81">
        <f>I545+I555+I576+I620</f>
        <v>0</v>
      </c>
      <c r="J621" s="1"/>
      <c r="K621" s="1"/>
      <c r="P621" s="1"/>
      <c r="Q621" s="1"/>
      <c r="R621" s="1"/>
      <c r="S621" s="1"/>
    </row>
    <row r="622" spans="1:19" ht="14.25" customHeight="1" thickBot="1" x14ac:dyDescent="0.3">
      <c r="A622" s="162"/>
      <c r="B622" s="213"/>
      <c r="C622" s="260" t="s">
        <v>436</v>
      </c>
      <c r="D622" s="157"/>
      <c r="E622" s="157"/>
      <c r="F622" s="259"/>
      <c r="G622" s="136"/>
      <c r="H622" s="243"/>
      <c r="I622" s="244">
        <f>H621+I621</f>
        <v>0</v>
      </c>
      <c r="J622" s="1"/>
      <c r="K622" s="1"/>
      <c r="P622" s="1"/>
      <c r="Q622" s="1"/>
      <c r="R622" s="1"/>
      <c r="S622" s="1"/>
    </row>
    <row r="623" spans="1:19" ht="14.25" customHeight="1" thickBot="1" x14ac:dyDescent="0.3">
      <c r="A623" s="43"/>
      <c r="B623" s="44" t="s">
        <v>244</v>
      </c>
      <c r="C623" s="129" t="s">
        <v>243</v>
      </c>
      <c r="D623" s="46"/>
      <c r="E623" s="46"/>
      <c r="F623" s="91"/>
      <c r="G623" s="100"/>
      <c r="H623" s="113"/>
      <c r="I623" s="50"/>
      <c r="J623" s="1"/>
      <c r="K623" s="1"/>
      <c r="P623" s="1"/>
      <c r="Q623" s="1"/>
      <c r="R623" s="1"/>
      <c r="S623" s="1"/>
    </row>
    <row r="624" spans="1:19" ht="14.25" customHeight="1" thickBot="1" x14ac:dyDescent="0.3">
      <c r="A624" s="43"/>
      <c r="B624" s="214"/>
      <c r="C624" s="129" t="s">
        <v>351</v>
      </c>
      <c r="D624" s="46"/>
      <c r="E624" s="46"/>
      <c r="F624" s="91"/>
      <c r="G624" s="100"/>
      <c r="H624" s="113"/>
      <c r="I624" s="50"/>
      <c r="J624" s="1"/>
      <c r="K624" s="1"/>
      <c r="P624" s="1"/>
      <c r="Q624" s="1"/>
      <c r="R624" s="1"/>
      <c r="S624" s="1"/>
    </row>
    <row r="625" spans="1:19" ht="30.75" customHeight="1" x14ac:dyDescent="0.25">
      <c r="A625" s="4">
        <v>1</v>
      </c>
      <c r="B625" s="199" t="s">
        <v>9</v>
      </c>
      <c r="C625" s="5" t="s">
        <v>25</v>
      </c>
      <c r="D625" s="153" t="s">
        <v>11</v>
      </c>
      <c r="E625" s="4">
        <v>1</v>
      </c>
      <c r="F625" s="6"/>
      <c r="G625" s="154">
        <v>0</v>
      </c>
      <c r="H625" s="6"/>
      <c r="I625" s="40">
        <f>E625*G625</f>
        <v>0</v>
      </c>
      <c r="J625" s="1"/>
      <c r="K625" s="1"/>
      <c r="P625" s="1"/>
      <c r="Q625" s="1"/>
      <c r="R625" s="1"/>
      <c r="S625" s="1"/>
    </row>
    <row r="626" spans="1:19" ht="14.25" customHeight="1" x14ac:dyDescent="0.25">
      <c r="A626" s="10" t="s">
        <v>12</v>
      </c>
      <c r="B626" s="187" t="s">
        <v>13</v>
      </c>
      <c r="C626" s="64" t="s">
        <v>246</v>
      </c>
      <c r="D626" s="12" t="s">
        <v>14</v>
      </c>
      <c r="E626" s="12">
        <v>1</v>
      </c>
      <c r="F626" s="14">
        <v>0</v>
      </c>
      <c r="G626" s="94"/>
      <c r="H626" s="107">
        <f>E626*F626</f>
        <v>0</v>
      </c>
      <c r="I626" s="15"/>
      <c r="J626" s="1"/>
      <c r="K626" s="1"/>
      <c r="P626" s="1"/>
      <c r="Q626" s="1"/>
      <c r="R626" s="1"/>
      <c r="S626" s="1"/>
    </row>
    <row r="627" spans="1:19" ht="14.25" customHeight="1" x14ac:dyDescent="0.25">
      <c r="A627" s="10" t="s">
        <v>15</v>
      </c>
      <c r="B627" s="187" t="s">
        <v>13</v>
      </c>
      <c r="C627" s="64" t="s">
        <v>247</v>
      </c>
      <c r="D627" s="12" t="s">
        <v>14</v>
      </c>
      <c r="E627" s="12">
        <v>1</v>
      </c>
      <c r="F627" s="14">
        <v>0</v>
      </c>
      <c r="G627" s="94"/>
      <c r="H627" s="107">
        <f>E627*F627</f>
        <v>0</v>
      </c>
      <c r="I627" s="15"/>
      <c r="J627" s="1"/>
      <c r="K627" s="1"/>
      <c r="P627" s="1"/>
      <c r="Q627" s="1"/>
      <c r="R627" s="1"/>
      <c r="S627" s="1"/>
    </row>
    <row r="628" spans="1:19" ht="36.75" customHeight="1" x14ac:dyDescent="0.25">
      <c r="A628" s="16" t="s">
        <v>455</v>
      </c>
      <c r="B628" s="188" t="s">
        <v>9</v>
      </c>
      <c r="C628" s="264" t="s">
        <v>598</v>
      </c>
      <c r="D628" s="18" t="s">
        <v>454</v>
      </c>
      <c r="E628" s="18">
        <v>5</v>
      </c>
      <c r="F628" s="13"/>
      <c r="G628" s="110">
        <v>0</v>
      </c>
      <c r="H628" s="95"/>
      <c r="I628" s="54">
        <f>E628*G628</f>
        <v>0</v>
      </c>
      <c r="J628" s="1"/>
      <c r="K628" s="1"/>
      <c r="P628" s="1"/>
      <c r="Q628" s="1"/>
      <c r="R628" s="1"/>
      <c r="S628" s="1"/>
    </row>
    <row r="629" spans="1:19" ht="53.25" customHeight="1" x14ac:dyDescent="0.25">
      <c r="A629" s="16" t="s">
        <v>16</v>
      </c>
      <c r="B629" s="190" t="s">
        <v>9</v>
      </c>
      <c r="C629" s="264" t="s">
        <v>248</v>
      </c>
      <c r="D629" s="18" t="s">
        <v>53</v>
      </c>
      <c r="E629" s="18">
        <f>4.52+2*1.91</f>
        <v>8.34</v>
      </c>
      <c r="F629" s="13"/>
      <c r="G629" s="110">
        <v>0</v>
      </c>
      <c r="H629" s="95"/>
      <c r="I629" s="54">
        <f>E629*G629</f>
        <v>0</v>
      </c>
      <c r="J629" s="1"/>
      <c r="K629" s="1"/>
      <c r="P629" s="1"/>
      <c r="Q629" s="1"/>
      <c r="R629" s="1"/>
      <c r="S629" s="1"/>
    </row>
    <row r="630" spans="1:19" ht="14.25" customHeight="1" x14ac:dyDescent="0.25">
      <c r="A630" s="10" t="s">
        <v>17</v>
      </c>
      <c r="B630" s="200" t="s">
        <v>13</v>
      </c>
      <c r="C630" s="64" t="s">
        <v>149</v>
      </c>
      <c r="D630" s="12" t="s">
        <v>38</v>
      </c>
      <c r="E630" s="72">
        <f>2.55*E629</f>
        <v>21.27</v>
      </c>
      <c r="F630" s="14">
        <v>0</v>
      </c>
      <c r="G630" s="94"/>
      <c r="H630" s="107">
        <f>E630*F630</f>
        <v>0</v>
      </c>
      <c r="I630" s="15"/>
      <c r="J630" s="1"/>
      <c r="K630" s="1"/>
      <c r="P630" s="1"/>
      <c r="Q630" s="1"/>
      <c r="R630" s="1"/>
      <c r="S630" s="1"/>
    </row>
    <row r="631" spans="1:19" ht="31.5" customHeight="1" x14ac:dyDescent="0.25">
      <c r="A631" s="10" t="s">
        <v>18</v>
      </c>
      <c r="B631" s="187" t="s">
        <v>13</v>
      </c>
      <c r="C631" s="64" t="s">
        <v>249</v>
      </c>
      <c r="D631" s="12" t="s">
        <v>57</v>
      </c>
      <c r="E631" s="12">
        <v>1.8</v>
      </c>
      <c r="F631" s="14">
        <v>0</v>
      </c>
      <c r="G631" s="94"/>
      <c r="H631" s="107">
        <f>E631*F631</f>
        <v>0</v>
      </c>
      <c r="I631" s="15"/>
      <c r="J631" s="1"/>
      <c r="K631" s="1"/>
      <c r="P631" s="1"/>
      <c r="Q631" s="1"/>
      <c r="R631" s="1"/>
      <c r="S631" s="1"/>
    </row>
    <row r="632" spans="1:19" ht="14.25" customHeight="1" x14ac:dyDescent="0.25">
      <c r="A632" s="10" t="s">
        <v>46</v>
      </c>
      <c r="B632" s="187" t="s">
        <v>13</v>
      </c>
      <c r="C632" s="64" t="s">
        <v>250</v>
      </c>
      <c r="D632" s="12" t="s">
        <v>14</v>
      </c>
      <c r="E632" s="12">
        <v>2</v>
      </c>
      <c r="F632" s="14">
        <v>0</v>
      </c>
      <c r="G632" s="94"/>
      <c r="H632" s="107">
        <f>E632*F632</f>
        <v>0</v>
      </c>
      <c r="I632" s="15"/>
      <c r="J632" s="1"/>
      <c r="K632" s="1"/>
      <c r="P632" s="1"/>
      <c r="Q632" s="1"/>
      <c r="R632" s="1"/>
      <c r="S632" s="1"/>
    </row>
    <row r="633" spans="1:19" ht="14.25" customHeight="1" x14ac:dyDescent="0.25">
      <c r="A633" s="10" t="s">
        <v>48</v>
      </c>
      <c r="B633" s="187" t="s">
        <v>13</v>
      </c>
      <c r="C633" s="64" t="s">
        <v>251</v>
      </c>
      <c r="D633" s="12" t="s">
        <v>53</v>
      </c>
      <c r="E633" s="12">
        <v>0.5</v>
      </c>
      <c r="F633" s="14">
        <v>0</v>
      </c>
      <c r="G633" s="94"/>
      <c r="H633" s="107">
        <f t="shared" ref="H633:H634" si="49">E633*F633</f>
        <v>0</v>
      </c>
      <c r="I633" s="15"/>
      <c r="J633" s="1"/>
      <c r="K633" s="1"/>
      <c r="P633" s="1"/>
      <c r="Q633" s="1"/>
      <c r="R633" s="1"/>
      <c r="S633" s="1"/>
    </row>
    <row r="634" spans="1:19" ht="14.25" customHeight="1" x14ac:dyDescent="0.25">
      <c r="A634" s="10" t="s">
        <v>49</v>
      </c>
      <c r="B634" s="187" t="s">
        <v>13</v>
      </c>
      <c r="C634" s="64" t="s">
        <v>252</v>
      </c>
      <c r="D634" s="12" t="s">
        <v>14</v>
      </c>
      <c r="E634" s="12">
        <v>1</v>
      </c>
      <c r="F634" s="14">
        <v>0</v>
      </c>
      <c r="G634" s="94"/>
      <c r="H634" s="107">
        <f t="shared" si="49"/>
        <v>0</v>
      </c>
      <c r="I634" s="15"/>
      <c r="J634" s="1"/>
      <c r="K634" s="1"/>
      <c r="P634" s="1"/>
      <c r="Q634" s="1"/>
      <c r="R634" s="1"/>
      <c r="S634" s="1"/>
    </row>
    <row r="635" spans="1:19" ht="33.75" customHeight="1" x14ac:dyDescent="0.25">
      <c r="A635" s="16" t="s">
        <v>19</v>
      </c>
      <c r="B635" s="190" t="s">
        <v>9</v>
      </c>
      <c r="C635" s="17" t="s">
        <v>254</v>
      </c>
      <c r="D635" s="18" t="s">
        <v>14</v>
      </c>
      <c r="E635" s="18">
        <v>2</v>
      </c>
      <c r="F635" s="13"/>
      <c r="G635" s="110">
        <v>0</v>
      </c>
      <c r="H635" s="95"/>
      <c r="I635" s="54">
        <f>E635*G635</f>
        <v>0</v>
      </c>
      <c r="J635" s="1"/>
      <c r="K635" s="1"/>
      <c r="P635" s="1"/>
      <c r="Q635" s="1"/>
      <c r="R635" s="1"/>
      <c r="S635" s="1"/>
    </row>
    <row r="636" spans="1:19" ht="35.25" customHeight="1" x14ac:dyDescent="0.25">
      <c r="A636" s="10" t="s">
        <v>21</v>
      </c>
      <c r="B636" s="187" t="s">
        <v>13</v>
      </c>
      <c r="C636" s="11" t="s">
        <v>253</v>
      </c>
      <c r="D636" s="12" t="s">
        <v>14</v>
      </c>
      <c r="E636" s="12">
        <v>1</v>
      </c>
      <c r="F636" s="14">
        <v>0</v>
      </c>
      <c r="G636" s="94"/>
      <c r="H636" s="107">
        <f>E636*F636</f>
        <v>0</v>
      </c>
      <c r="I636" s="15"/>
      <c r="J636" s="1"/>
      <c r="K636" s="1"/>
      <c r="P636" s="1"/>
      <c r="Q636" s="1"/>
      <c r="R636" s="1"/>
      <c r="S636" s="1"/>
    </row>
    <row r="637" spans="1:19" ht="32.25" customHeight="1" x14ac:dyDescent="0.25">
      <c r="A637" s="10" t="s">
        <v>22</v>
      </c>
      <c r="B637" s="187" t="s">
        <v>13</v>
      </c>
      <c r="C637" s="11" t="s">
        <v>255</v>
      </c>
      <c r="D637" s="12" t="s">
        <v>14</v>
      </c>
      <c r="E637" s="12">
        <v>1</v>
      </c>
      <c r="F637" s="14">
        <v>0</v>
      </c>
      <c r="G637" s="94"/>
      <c r="H637" s="107">
        <f>E637*F637</f>
        <v>0</v>
      </c>
      <c r="I637" s="15"/>
      <c r="J637" s="1"/>
      <c r="K637" s="1"/>
      <c r="P637" s="1"/>
      <c r="Q637" s="1"/>
      <c r="R637" s="1"/>
      <c r="S637" s="1"/>
    </row>
    <row r="638" spans="1:19" ht="38.25" customHeight="1" x14ac:dyDescent="0.25">
      <c r="A638" s="16" t="s">
        <v>23</v>
      </c>
      <c r="B638" s="190" t="s">
        <v>9</v>
      </c>
      <c r="C638" s="17" t="s">
        <v>256</v>
      </c>
      <c r="D638" s="19" t="s">
        <v>53</v>
      </c>
      <c r="E638" s="18">
        <v>11</v>
      </c>
      <c r="F638" s="13"/>
      <c r="G638" s="110">
        <v>0</v>
      </c>
      <c r="H638" s="95"/>
      <c r="I638" s="54">
        <f>E638*G638</f>
        <v>0</v>
      </c>
      <c r="J638" s="1"/>
      <c r="K638" s="1"/>
      <c r="P638" s="1"/>
      <c r="Q638" s="1"/>
      <c r="R638" s="1"/>
      <c r="S638" s="1"/>
    </row>
    <row r="639" spans="1:19" ht="14.25" customHeight="1" x14ac:dyDescent="0.25">
      <c r="A639" s="10" t="s">
        <v>24</v>
      </c>
      <c r="B639" s="187" t="s">
        <v>13</v>
      </c>
      <c r="C639" s="167" t="s">
        <v>257</v>
      </c>
      <c r="D639" s="84" t="s">
        <v>53</v>
      </c>
      <c r="E639" s="12">
        <f>1.1*E638</f>
        <v>12.1</v>
      </c>
      <c r="F639" s="14">
        <v>0</v>
      </c>
      <c r="G639" s="94"/>
      <c r="H639" s="107">
        <f>E639*F639</f>
        <v>0</v>
      </c>
      <c r="I639" s="15"/>
      <c r="J639" s="1"/>
      <c r="K639" s="1"/>
      <c r="P639" s="1"/>
      <c r="Q639" s="1"/>
      <c r="R639" s="1"/>
      <c r="S639" s="1"/>
    </row>
    <row r="640" spans="1:19" ht="14.25" customHeight="1" thickBot="1" x14ac:dyDescent="0.3">
      <c r="A640" s="345" t="s">
        <v>59</v>
      </c>
      <c r="B640" s="365" t="s">
        <v>13</v>
      </c>
      <c r="C640" s="341" t="s">
        <v>258</v>
      </c>
      <c r="D640" s="85" t="s">
        <v>38</v>
      </c>
      <c r="E640" s="342">
        <f>2.8*E638</f>
        <v>30.8</v>
      </c>
      <c r="F640" s="347">
        <v>0</v>
      </c>
      <c r="G640" s="343"/>
      <c r="H640" s="344">
        <f>E640*F640</f>
        <v>0</v>
      </c>
      <c r="I640" s="334"/>
      <c r="J640" s="1"/>
      <c r="K640" s="1"/>
      <c r="P640" s="1"/>
      <c r="Q640" s="1"/>
      <c r="R640" s="1"/>
      <c r="S640" s="1"/>
    </row>
    <row r="641" spans="1:19" ht="14.25" customHeight="1" thickBot="1" x14ac:dyDescent="0.3">
      <c r="A641" s="43"/>
      <c r="B641" s="377"/>
      <c r="C641" s="168"/>
      <c r="D641" s="46"/>
      <c r="E641" s="46"/>
      <c r="F641" s="119"/>
      <c r="G641" s="100"/>
      <c r="H641" s="113">
        <f>SUM(H626:H640)</f>
        <v>0</v>
      </c>
      <c r="I641" s="81">
        <f>SUM(I625:I640)</f>
        <v>0</v>
      </c>
      <c r="J641" s="1"/>
      <c r="K641" s="1"/>
      <c r="P641" s="1"/>
      <c r="Q641" s="1"/>
      <c r="R641" s="1"/>
      <c r="S641" s="1"/>
    </row>
    <row r="642" spans="1:19" ht="14.25" customHeight="1" thickBot="1" x14ac:dyDescent="0.3">
      <c r="A642" s="78"/>
      <c r="B642" s="211"/>
      <c r="C642" s="90" t="s">
        <v>352</v>
      </c>
      <c r="D642" s="46"/>
      <c r="E642" s="46"/>
      <c r="F642" s="119"/>
      <c r="G642" s="50"/>
      <c r="H642" s="119"/>
      <c r="I642" s="50"/>
      <c r="J642" s="1"/>
      <c r="K642" s="1"/>
      <c r="P642" s="1"/>
      <c r="Q642" s="1"/>
      <c r="R642" s="1"/>
      <c r="S642" s="1"/>
    </row>
    <row r="643" spans="1:19" ht="34.5" customHeight="1" x14ac:dyDescent="0.25">
      <c r="A643" s="92" t="s">
        <v>50</v>
      </c>
      <c r="B643" s="199" t="s">
        <v>9</v>
      </c>
      <c r="C643" s="5" t="s">
        <v>25</v>
      </c>
      <c r="D643" s="153" t="s">
        <v>11</v>
      </c>
      <c r="E643" s="4">
        <v>1</v>
      </c>
      <c r="F643" s="6"/>
      <c r="G643" s="154">
        <v>0</v>
      </c>
      <c r="H643" s="6"/>
      <c r="I643" s="40">
        <f>E643*G643</f>
        <v>0</v>
      </c>
      <c r="J643" s="1"/>
      <c r="K643" s="1"/>
      <c r="P643" s="1"/>
      <c r="Q643" s="1"/>
      <c r="R643" s="1"/>
      <c r="S643" s="1"/>
    </row>
    <row r="644" spans="1:19" ht="29.25" customHeight="1" x14ac:dyDescent="0.25">
      <c r="A644" s="10" t="s">
        <v>27</v>
      </c>
      <c r="B644" s="187" t="s">
        <v>13</v>
      </c>
      <c r="C644" s="348" t="s">
        <v>261</v>
      </c>
      <c r="D644" s="12" t="s">
        <v>14</v>
      </c>
      <c r="E644" s="12">
        <v>1</v>
      </c>
      <c r="F644" s="14">
        <v>0</v>
      </c>
      <c r="G644" s="94"/>
      <c r="H644" s="107">
        <f>E644*F644</f>
        <v>0</v>
      </c>
      <c r="I644" s="15"/>
      <c r="J644" s="1"/>
      <c r="K644" s="1"/>
      <c r="P644" s="1"/>
      <c r="Q644" s="1"/>
      <c r="R644" s="1"/>
      <c r="S644" s="1"/>
    </row>
    <row r="645" spans="1:19" ht="26.25" customHeight="1" x14ac:dyDescent="0.25">
      <c r="A645" s="10" t="s">
        <v>28</v>
      </c>
      <c r="B645" s="187" t="s">
        <v>13</v>
      </c>
      <c r="C645" s="64" t="s">
        <v>262</v>
      </c>
      <c r="D645" s="12" t="s">
        <v>14</v>
      </c>
      <c r="E645" s="12">
        <v>1</v>
      </c>
      <c r="F645" s="14">
        <v>0</v>
      </c>
      <c r="G645" s="94"/>
      <c r="H645" s="107">
        <f>E645*F645</f>
        <v>0</v>
      </c>
      <c r="I645" s="15"/>
      <c r="J645" s="1"/>
      <c r="K645" s="1"/>
      <c r="P645" s="1"/>
      <c r="Q645" s="1"/>
      <c r="R645" s="1"/>
      <c r="S645" s="1"/>
    </row>
    <row r="646" spans="1:19" ht="33.75" customHeight="1" x14ac:dyDescent="0.25">
      <c r="A646" s="16" t="s">
        <v>456</v>
      </c>
      <c r="B646" s="263" t="s">
        <v>9</v>
      </c>
      <c r="C646" s="264" t="s">
        <v>557</v>
      </c>
      <c r="D646" s="19" t="s">
        <v>454</v>
      </c>
      <c r="E646" s="19">
        <v>5</v>
      </c>
      <c r="F646" s="13"/>
      <c r="G646" s="110">
        <v>0</v>
      </c>
      <c r="H646" s="95"/>
      <c r="I646" s="54">
        <f>E646*G646</f>
        <v>0</v>
      </c>
      <c r="J646" s="1"/>
      <c r="K646" s="1"/>
      <c r="P646" s="1"/>
      <c r="Q646" s="1"/>
      <c r="R646" s="1"/>
      <c r="S646" s="1"/>
    </row>
    <row r="647" spans="1:19" ht="44.25" customHeight="1" x14ac:dyDescent="0.25">
      <c r="A647" s="16" t="s">
        <v>29</v>
      </c>
      <c r="B647" s="201" t="s">
        <v>9</v>
      </c>
      <c r="C647" s="264" t="s">
        <v>248</v>
      </c>
      <c r="D647" s="19" t="s">
        <v>53</v>
      </c>
      <c r="E647" s="19">
        <v>8.74</v>
      </c>
      <c r="F647" s="13"/>
      <c r="G647" s="110">
        <v>0</v>
      </c>
      <c r="H647" s="95"/>
      <c r="I647" s="54">
        <f>E647*G647</f>
        <v>0</v>
      </c>
      <c r="J647" s="1"/>
      <c r="K647" s="1"/>
      <c r="P647" s="1"/>
      <c r="Q647" s="1"/>
      <c r="R647" s="1"/>
      <c r="S647" s="1"/>
    </row>
    <row r="648" spans="1:19" ht="14.25" customHeight="1" x14ac:dyDescent="0.25">
      <c r="A648" s="10" t="s">
        <v>31</v>
      </c>
      <c r="B648" s="200" t="s">
        <v>13</v>
      </c>
      <c r="C648" s="64" t="s">
        <v>149</v>
      </c>
      <c r="D648" s="12" t="s">
        <v>38</v>
      </c>
      <c r="E648" s="72">
        <f>2.55*E647</f>
        <v>22.29</v>
      </c>
      <c r="F648" s="14">
        <v>0</v>
      </c>
      <c r="G648" s="94"/>
      <c r="H648" s="107">
        <f>E648*F648</f>
        <v>0</v>
      </c>
      <c r="I648" s="15"/>
      <c r="J648" s="1"/>
      <c r="K648" s="1"/>
      <c r="P648" s="1"/>
      <c r="Q648" s="1"/>
      <c r="R648" s="1"/>
      <c r="S648" s="1"/>
    </row>
    <row r="649" spans="1:19" ht="14.25" customHeight="1" x14ac:dyDescent="0.25">
      <c r="A649" s="10" t="s">
        <v>62</v>
      </c>
      <c r="B649" s="187" t="s">
        <v>13</v>
      </c>
      <c r="C649" s="64" t="s">
        <v>263</v>
      </c>
      <c r="D649" s="12" t="s">
        <v>57</v>
      </c>
      <c r="E649" s="12">
        <v>2.1</v>
      </c>
      <c r="F649" s="14">
        <v>0</v>
      </c>
      <c r="G649" s="94"/>
      <c r="H649" s="107">
        <f>E649*F649</f>
        <v>0</v>
      </c>
      <c r="I649" s="15"/>
      <c r="J649" s="1"/>
      <c r="K649" s="1">
        <v>4.68</v>
      </c>
      <c r="P649" s="1"/>
      <c r="Q649" s="1"/>
      <c r="R649" s="1"/>
      <c r="S649" s="1"/>
    </row>
    <row r="650" spans="1:19" ht="14.25" customHeight="1" x14ac:dyDescent="0.25">
      <c r="A650" s="10" t="s">
        <v>63</v>
      </c>
      <c r="B650" s="187" t="s">
        <v>13</v>
      </c>
      <c r="C650" s="64" t="s">
        <v>265</v>
      </c>
      <c r="D650" s="12" t="s">
        <v>14</v>
      </c>
      <c r="E650" s="12">
        <v>2</v>
      </c>
      <c r="F650" s="14">
        <v>0</v>
      </c>
      <c r="G650" s="94"/>
      <c r="H650" s="107">
        <f>E650*F650</f>
        <v>0</v>
      </c>
      <c r="I650" s="15"/>
      <c r="J650" s="1"/>
      <c r="K650" s="1">
        <f>1.53*E650</f>
        <v>3.06</v>
      </c>
      <c r="P650" s="1"/>
      <c r="Q650" s="1"/>
      <c r="R650" s="1"/>
      <c r="S650" s="1"/>
    </row>
    <row r="651" spans="1:19" ht="14.25" customHeight="1" x14ac:dyDescent="0.25">
      <c r="A651" s="10" t="s">
        <v>64</v>
      </c>
      <c r="B651" s="187" t="s">
        <v>13</v>
      </c>
      <c r="C651" s="64" t="s">
        <v>251</v>
      </c>
      <c r="D651" s="12" t="s">
        <v>53</v>
      </c>
      <c r="E651" s="12">
        <v>0.4</v>
      </c>
      <c r="F651" s="14">
        <v>0</v>
      </c>
      <c r="G651" s="94"/>
      <c r="H651" s="107">
        <f t="shared" ref="H651:H653" si="50">E651*F651</f>
        <v>0</v>
      </c>
      <c r="I651" s="15"/>
      <c r="J651" s="1"/>
      <c r="K651" s="1"/>
      <c r="P651" s="1"/>
      <c r="Q651" s="1"/>
      <c r="R651" s="1"/>
      <c r="S651" s="1"/>
    </row>
    <row r="652" spans="1:19" ht="14.25" customHeight="1" x14ac:dyDescent="0.25">
      <c r="A652" s="10" t="s">
        <v>65</v>
      </c>
      <c r="B652" s="187" t="s">
        <v>13</v>
      </c>
      <c r="C652" s="64" t="s">
        <v>264</v>
      </c>
      <c r="D652" s="12" t="s">
        <v>14</v>
      </c>
      <c r="E652" s="12">
        <v>1</v>
      </c>
      <c r="F652" s="14">
        <v>0</v>
      </c>
      <c r="G652" s="94"/>
      <c r="H652" s="107">
        <f t="shared" si="50"/>
        <v>0</v>
      </c>
      <c r="I652" s="15"/>
      <c r="J652" s="1"/>
      <c r="K652" s="1"/>
      <c r="P652" s="1"/>
      <c r="Q652" s="1"/>
      <c r="R652" s="1"/>
      <c r="S652" s="1"/>
    </row>
    <row r="653" spans="1:19" ht="14.25" customHeight="1" x14ac:dyDescent="0.25">
      <c r="A653" s="10" t="s">
        <v>372</v>
      </c>
      <c r="B653" s="349" t="s">
        <v>13</v>
      </c>
      <c r="C653" s="64" t="s">
        <v>266</v>
      </c>
      <c r="D653" s="20" t="s">
        <v>14</v>
      </c>
      <c r="E653" s="20">
        <v>1</v>
      </c>
      <c r="F653" s="14">
        <v>0</v>
      </c>
      <c r="G653" s="94"/>
      <c r="H653" s="107">
        <f t="shared" si="50"/>
        <v>0</v>
      </c>
      <c r="I653" s="15"/>
      <c r="J653" s="1"/>
      <c r="K653" s="1">
        <f>1*E653</f>
        <v>1</v>
      </c>
      <c r="P653" s="1"/>
      <c r="Q653" s="1"/>
      <c r="R653" s="1"/>
      <c r="S653" s="1"/>
    </row>
    <row r="654" spans="1:19" ht="39" customHeight="1" x14ac:dyDescent="0.25">
      <c r="A654" s="16" t="s">
        <v>32</v>
      </c>
      <c r="B654" s="201" t="s">
        <v>9</v>
      </c>
      <c r="C654" s="17" t="s">
        <v>200</v>
      </c>
      <c r="D654" s="19" t="s">
        <v>53</v>
      </c>
      <c r="E654" s="18">
        <v>10.5</v>
      </c>
      <c r="F654" s="27"/>
      <c r="G654" s="110">
        <v>0</v>
      </c>
      <c r="H654" s="95"/>
      <c r="I654" s="54">
        <f>E654*G654</f>
        <v>0</v>
      </c>
      <c r="J654" s="1"/>
      <c r="K654" s="1"/>
      <c r="P654" s="1"/>
      <c r="Q654" s="1"/>
      <c r="R654" s="1"/>
      <c r="S654" s="1"/>
    </row>
    <row r="655" spans="1:19" ht="14.25" customHeight="1" x14ac:dyDescent="0.25">
      <c r="A655" s="10" t="s">
        <v>33</v>
      </c>
      <c r="B655" s="349" t="s">
        <v>13</v>
      </c>
      <c r="C655" s="167" t="s">
        <v>198</v>
      </c>
      <c r="D655" s="84" t="s">
        <v>53</v>
      </c>
      <c r="E655" s="12">
        <f>1.1*E654</f>
        <v>11.55</v>
      </c>
      <c r="F655" s="29">
        <v>0</v>
      </c>
      <c r="G655" s="94"/>
      <c r="H655" s="107">
        <f>E655*F655</f>
        <v>0</v>
      </c>
      <c r="I655" s="15"/>
      <c r="J655" s="1"/>
      <c r="K655" s="1"/>
      <c r="P655" s="1"/>
      <c r="Q655" s="1"/>
      <c r="R655" s="1"/>
      <c r="S655" s="1"/>
    </row>
    <row r="656" spans="1:19" ht="14.25" customHeight="1" x14ac:dyDescent="0.25">
      <c r="A656" s="10" t="s">
        <v>34</v>
      </c>
      <c r="B656" s="349" t="s">
        <v>13</v>
      </c>
      <c r="C656" s="167" t="s">
        <v>259</v>
      </c>
      <c r="D656" s="84" t="s">
        <v>38</v>
      </c>
      <c r="E656" s="12">
        <f>0.7*E654</f>
        <v>7.35</v>
      </c>
      <c r="F656" s="29">
        <v>0</v>
      </c>
      <c r="G656" s="94"/>
      <c r="H656" s="107">
        <f>E656*F656</f>
        <v>0</v>
      </c>
      <c r="I656" s="15"/>
      <c r="J656" s="1"/>
      <c r="K656" s="1"/>
      <c r="P656" s="1"/>
      <c r="Q656" s="1"/>
      <c r="R656" s="1"/>
      <c r="S656" s="1"/>
    </row>
    <row r="657" spans="1:19" ht="14.25" customHeight="1" x14ac:dyDescent="0.25">
      <c r="A657" s="16" t="s">
        <v>36</v>
      </c>
      <c r="B657" s="192" t="s">
        <v>9</v>
      </c>
      <c r="C657" s="17" t="s">
        <v>254</v>
      </c>
      <c r="D657" s="18" t="s">
        <v>14</v>
      </c>
      <c r="E657" s="18">
        <v>2</v>
      </c>
      <c r="F657" s="13"/>
      <c r="G657" s="110">
        <v>0</v>
      </c>
      <c r="H657" s="95"/>
      <c r="I657" s="54">
        <f>E657*G657</f>
        <v>0</v>
      </c>
      <c r="J657" s="1"/>
      <c r="K657" s="1"/>
      <c r="P657" s="1"/>
      <c r="Q657" s="1"/>
      <c r="R657" s="1"/>
      <c r="S657" s="1"/>
    </row>
    <row r="658" spans="1:19" ht="24.75" customHeight="1" x14ac:dyDescent="0.25">
      <c r="A658" s="10" t="s">
        <v>37</v>
      </c>
      <c r="B658" s="349" t="s">
        <v>13</v>
      </c>
      <c r="C658" s="11" t="s">
        <v>267</v>
      </c>
      <c r="D658" s="12" t="s">
        <v>14</v>
      </c>
      <c r="E658" s="12">
        <v>1</v>
      </c>
      <c r="F658" s="14">
        <v>0</v>
      </c>
      <c r="G658" s="94"/>
      <c r="H658" s="107">
        <f>E658*F658</f>
        <v>0</v>
      </c>
      <c r="I658" s="15"/>
      <c r="J658" s="1"/>
      <c r="K658" s="1"/>
      <c r="P658" s="1"/>
      <c r="Q658" s="1"/>
      <c r="R658" s="1"/>
      <c r="S658" s="1"/>
    </row>
    <row r="659" spans="1:19" ht="30" customHeight="1" thickBot="1" x14ac:dyDescent="0.3">
      <c r="A659" s="345" t="s">
        <v>224</v>
      </c>
      <c r="B659" s="367" t="s">
        <v>13</v>
      </c>
      <c r="C659" s="330" t="s">
        <v>268</v>
      </c>
      <c r="D659" s="342" t="s">
        <v>14</v>
      </c>
      <c r="E659" s="342">
        <v>1</v>
      </c>
      <c r="F659" s="347">
        <v>0</v>
      </c>
      <c r="G659" s="343"/>
      <c r="H659" s="344">
        <f>E659*F659</f>
        <v>0</v>
      </c>
      <c r="I659" s="334"/>
      <c r="J659" s="1"/>
      <c r="K659" s="1"/>
      <c r="P659" s="1"/>
      <c r="Q659" s="1"/>
      <c r="R659" s="1"/>
      <c r="S659" s="1"/>
    </row>
    <row r="660" spans="1:19" ht="15.75" thickBot="1" x14ac:dyDescent="0.3">
      <c r="A660" s="43"/>
      <c r="B660" s="202"/>
      <c r="C660" s="238" t="s">
        <v>407</v>
      </c>
      <c r="D660" s="46"/>
      <c r="E660" s="46"/>
      <c r="F660" s="119"/>
      <c r="G660" s="100"/>
      <c r="H660" s="113">
        <f>SUM(H644:H659)</f>
        <v>0</v>
      </c>
      <c r="I660" s="81">
        <f>SUM(I643:I659)</f>
        <v>0</v>
      </c>
      <c r="J660" s="1"/>
      <c r="K660" s="1"/>
      <c r="P660" s="1"/>
      <c r="Q660" s="1"/>
      <c r="R660" s="1"/>
      <c r="S660" s="1"/>
    </row>
    <row r="661" spans="1:19" ht="14.25" customHeight="1" thickBot="1" x14ac:dyDescent="0.3">
      <c r="A661" s="78"/>
      <c r="B661" s="211"/>
      <c r="C661" s="90" t="s">
        <v>353</v>
      </c>
      <c r="D661" s="46"/>
      <c r="E661" s="46"/>
      <c r="F661" s="119"/>
      <c r="G661" s="50"/>
      <c r="H661" s="119"/>
      <c r="I661" s="50"/>
      <c r="J661" s="1"/>
      <c r="K661" s="1"/>
      <c r="P661" s="1"/>
      <c r="Q661" s="1"/>
      <c r="R661" s="1"/>
      <c r="S661" s="1"/>
    </row>
    <row r="662" spans="1:19" ht="27" customHeight="1" x14ac:dyDescent="0.25">
      <c r="A662" s="4">
        <v>9</v>
      </c>
      <c r="B662" s="199" t="s">
        <v>9</v>
      </c>
      <c r="C662" s="5" t="s">
        <v>270</v>
      </c>
      <c r="D662" s="153" t="s">
        <v>11</v>
      </c>
      <c r="E662" s="4">
        <v>1</v>
      </c>
      <c r="F662" s="6"/>
      <c r="G662" s="154">
        <v>0</v>
      </c>
      <c r="H662" s="6"/>
      <c r="I662" s="40">
        <f>E662*G662</f>
        <v>0</v>
      </c>
      <c r="J662" s="1"/>
      <c r="K662" s="1"/>
      <c r="P662" s="1"/>
      <c r="Q662" s="1"/>
      <c r="R662" s="1"/>
      <c r="S662" s="1"/>
    </row>
    <row r="663" spans="1:19" ht="30.75" customHeight="1" x14ac:dyDescent="0.25">
      <c r="A663" s="10" t="s">
        <v>40</v>
      </c>
      <c r="B663" s="187" t="s">
        <v>13</v>
      </c>
      <c r="C663" s="64" t="s">
        <v>271</v>
      </c>
      <c r="D663" s="12" t="s">
        <v>14</v>
      </c>
      <c r="E663" s="12">
        <v>1</v>
      </c>
      <c r="F663" s="14">
        <v>0</v>
      </c>
      <c r="G663" s="94"/>
      <c r="H663" s="107">
        <f>E663*F663</f>
        <v>0</v>
      </c>
      <c r="I663" s="15"/>
      <c r="J663" s="1"/>
      <c r="K663" s="1"/>
      <c r="P663" s="1"/>
      <c r="Q663" s="1"/>
      <c r="R663" s="1"/>
      <c r="S663" s="1"/>
    </row>
    <row r="664" spans="1:19" ht="14.25" customHeight="1" x14ac:dyDescent="0.25">
      <c r="A664" s="10" t="s">
        <v>41</v>
      </c>
      <c r="B664" s="187" t="s">
        <v>13</v>
      </c>
      <c r="C664" s="64" t="s">
        <v>272</v>
      </c>
      <c r="D664" s="12" t="s">
        <v>14</v>
      </c>
      <c r="E664" s="12">
        <v>1</v>
      </c>
      <c r="F664" s="14">
        <v>0</v>
      </c>
      <c r="G664" s="94"/>
      <c r="H664" s="107">
        <f>E664*F664</f>
        <v>0</v>
      </c>
      <c r="I664" s="15"/>
      <c r="J664" s="1"/>
      <c r="K664" s="1"/>
      <c r="P664" s="1"/>
      <c r="Q664" s="1"/>
      <c r="R664" s="1"/>
      <c r="S664" s="1"/>
    </row>
    <row r="665" spans="1:19" ht="27" customHeight="1" x14ac:dyDescent="0.25">
      <c r="A665" s="16" t="s">
        <v>457</v>
      </c>
      <c r="B665" s="188" t="s">
        <v>9</v>
      </c>
      <c r="C665" s="264" t="s">
        <v>557</v>
      </c>
      <c r="D665" s="18" t="s">
        <v>454</v>
      </c>
      <c r="E665" s="18">
        <v>5</v>
      </c>
      <c r="F665" s="13"/>
      <c r="G665" s="110">
        <v>0</v>
      </c>
      <c r="H665" s="95"/>
      <c r="I665" s="54">
        <f>E665*G665</f>
        <v>0</v>
      </c>
      <c r="J665" s="1"/>
      <c r="K665" s="1"/>
      <c r="P665" s="1"/>
      <c r="Q665" s="1"/>
      <c r="R665" s="1"/>
      <c r="S665" s="1"/>
    </row>
    <row r="666" spans="1:19" ht="29.25" customHeight="1" x14ac:dyDescent="0.25">
      <c r="A666" s="16" t="s">
        <v>233</v>
      </c>
      <c r="B666" s="190" t="s">
        <v>9</v>
      </c>
      <c r="C666" s="264" t="s">
        <v>273</v>
      </c>
      <c r="D666" s="18" t="s">
        <v>14</v>
      </c>
      <c r="E666" s="18">
        <v>1</v>
      </c>
      <c r="F666" s="13"/>
      <c r="G666" s="110">
        <v>0</v>
      </c>
      <c r="H666" s="95"/>
      <c r="I666" s="54">
        <f>E666*G666</f>
        <v>0</v>
      </c>
      <c r="J666" s="1"/>
      <c r="K666" s="1"/>
      <c r="P666" s="1"/>
      <c r="Q666" s="1"/>
      <c r="R666" s="1"/>
      <c r="S666" s="1"/>
    </row>
    <row r="667" spans="1:19" ht="24.75" customHeight="1" x14ac:dyDescent="0.25">
      <c r="A667" s="10" t="s">
        <v>42</v>
      </c>
      <c r="B667" s="187" t="s">
        <v>13</v>
      </c>
      <c r="C667" s="64" t="s">
        <v>274</v>
      </c>
      <c r="D667" s="12" t="s">
        <v>14</v>
      </c>
      <c r="E667" s="12">
        <v>1</v>
      </c>
      <c r="F667" s="14">
        <v>0</v>
      </c>
      <c r="G667" s="94"/>
      <c r="H667" s="107">
        <f>E667*F667</f>
        <v>0</v>
      </c>
      <c r="I667" s="15"/>
      <c r="J667" s="1"/>
      <c r="K667" s="1"/>
      <c r="P667" s="1"/>
      <c r="Q667" s="1"/>
      <c r="R667" s="1"/>
      <c r="S667" s="1"/>
    </row>
    <row r="668" spans="1:19" ht="34.5" customHeight="1" x14ac:dyDescent="0.25">
      <c r="A668" s="16" t="s">
        <v>68</v>
      </c>
      <c r="B668" s="188" t="s">
        <v>9</v>
      </c>
      <c r="C668" s="264" t="s">
        <v>51</v>
      </c>
      <c r="D668" s="18" t="s">
        <v>14</v>
      </c>
      <c r="E668" s="18">
        <v>17</v>
      </c>
      <c r="F668" s="13"/>
      <c r="G668" s="110">
        <v>0</v>
      </c>
      <c r="H668" s="95"/>
      <c r="I668" s="54">
        <f>E668*G668</f>
        <v>0</v>
      </c>
      <c r="J668" s="1"/>
      <c r="K668" s="1"/>
      <c r="P668" s="1"/>
      <c r="Q668" s="1"/>
      <c r="R668" s="1"/>
      <c r="S668" s="1"/>
    </row>
    <row r="669" spans="1:19" ht="30" customHeight="1" x14ac:dyDescent="0.25">
      <c r="A669" s="10" t="s">
        <v>69</v>
      </c>
      <c r="B669" s="187" t="s">
        <v>13</v>
      </c>
      <c r="C669" s="64" t="s">
        <v>354</v>
      </c>
      <c r="D669" s="12" t="s">
        <v>14</v>
      </c>
      <c r="E669" s="12">
        <v>17</v>
      </c>
      <c r="F669" s="14">
        <v>0</v>
      </c>
      <c r="G669" s="94"/>
      <c r="H669" s="107">
        <f>E669*F669</f>
        <v>0</v>
      </c>
      <c r="I669" s="15"/>
      <c r="J669" s="1"/>
      <c r="K669" s="1"/>
      <c r="P669" s="1"/>
      <c r="Q669" s="1"/>
      <c r="R669" s="1"/>
      <c r="S669" s="1"/>
    </row>
    <row r="670" spans="1:19" ht="52.5" customHeight="1" x14ac:dyDescent="0.25">
      <c r="A670" s="16" t="s">
        <v>239</v>
      </c>
      <c r="B670" s="190" t="s">
        <v>9</v>
      </c>
      <c r="C670" s="17" t="s">
        <v>163</v>
      </c>
      <c r="D670" s="18" t="s">
        <v>53</v>
      </c>
      <c r="E670" s="18">
        <v>13.21</v>
      </c>
      <c r="F670" s="13"/>
      <c r="G670" s="110">
        <v>0</v>
      </c>
      <c r="H670" s="95"/>
      <c r="I670" s="54">
        <f>E670*G670</f>
        <v>0</v>
      </c>
      <c r="J670" s="1"/>
      <c r="K670" s="1">
        <f>K672+K673</f>
        <v>13.21</v>
      </c>
      <c r="P670" s="1"/>
      <c r="Q670" s="1"/>
      <c r="R670" s="1"/>
      <c r="S670" s="1"/>
    </row>
    <row r="671" spans="1:19" ht="14.25" customHeight="1" x14ac:dyDescent="0.25">
      <c r="A671" s="10" t="s">
        <v>72</v>
      </c>
      <c r="B671" s="187" t="s">
        <v>13</v>
      </c>
      <c r="C671" s="11" t="s">
        <v>149</v>
      </c>
      <c r="D671" s="12" t="s">
        <v>38</v>
      </c>
      <c r="E671" s="72">
        <f>2.25*E670</f>
        <v>29.72</v>
      </c>
      <c r="F671" s="14">
        <v>0</v>
      </c>
      <c r="G671" s="94"/>
      <c r="H671" s="107">
        <f>E671*F671</f>
        <v>0</v>
      </c>
      <c r="I671" s="15"/>
      <c r="J671" s="1"/>
      <c r="K671" s="1"/>
      <c r="P671" s="1"/>
      <c r="Q671" s="1"/>
      <c r="R671" s="1"/>
      <c r="S671" s="1"/>
    </row>
    <row r="672" spans="1:19" ht="24" customHeight="1" x14ac:dyDescent="0.25">
      <c r="A672" s="10" t="s">
        <v>73</v>
      </c>
      <c r="B672" s="187" t="s">
        <v>13</v>
      </c>
      <c r="C672" s="11" t="s">
        <v>276</v>
      </c>
      <c r="D672" s="12" t="s">
        <v>57</v>
      </c>
      <c r="E672" s="12">
        <v>1.9</v>
      </c>
      <c r="F672" s="14">
        <v>0</v>
      </c>
      <c r="G672" s="94"/>
      <c r="H672" s="107">
        <f>E672*F672</f>
        <v>0</v>
      </c>
      <c r="I672" s="15"/>
      <c r="J672" s="1"/>
      <c r="K672" s="1">
        <f>2.3*E672</f>
        <v>4.37</v>
      </c>
      <c r="P672" s="1"/>
      <c r="Q672" s="1"/>
      <c r="R672" s="1"/>
      <c r="S672" s="1"/>
    </row>
    <row r="673" spans="1:19" ht="14.25" customHeight="1" x14ac:dyDescent="0.25">
      <c r="A673" s="10" t="s">
        <v>74</v>
      </c>
      <c r="B673" s="187" t="s">
        <v>13</v>
      </c>
      <c r="C673" s="11" t="s">
        <v>277</v>
      </c>
      <c r="D673" s="12" t="s">
        <v>14</v>
      </c>
      <c r="E673" s="12">
        <v>17</v>
      </c>
      <c r="F673" s="14">
        <v>0</v>
      </c>
      <c r="G673" s="94"/>
      <c r="H673" s="107">
        <f>E673*F673</f>
        <v>0</v>
      </c>
      <c r="I673" s="15"/>
      <c r="J673" s="1"/>
      <c r="K673" s="1">
        <f>17*0.52</f>
        <v>8.84</v>
      </c>
      <c r="P673" s="1"/>
      <c r="Q673" s="1"/>
      <c r="R673" s="1"/>
      <c r="S673" s="1"/>
    </row>
    <row r="674" spans="1:19" ht="42.75" customHeight="1" x14ac:dyDescent="0.25">
      <c r="A674" s="16" t="s">
        <v>75</v>
      </c>
      <c r="B674" s="190" t="s">
        <v>9</v>
      </c>
      <c r="C674" s="17" t="s">
        <v>278</v>
      </c>
      <c r="D674" s="18" t="s">
        <v>53</v>
      </c>
      <c r="E674" s="18">
        <v>144.16</v>
      </c>
      <c r="F674" s="13"/>
      <c r="G674" s="110">
        <v>0</v>
      </c>
      <c r="H674" s="95"/>
      <c r="I674" s="54">
        <f>E674*G674</f>
        <v>0</v>
      </c>
      <c r="J674" s="1"/>
      <c r="K674" s="1">
        <f>K676+K677+K678+K679+K680</f>
        <v>144.16</v>
      </c>
      <c r="P674" s="1"/>
      <c r="Q674" s="1"/>
      <c r="R674" s="1"/>
      <c r="S674" s="1"/>
    </row>
    <row r="675" spans="1:19" ht="14.25" customHeight="1" x14ac:dyDescent="0.25">
      <c r="A675" s="10" t="s">
        <v>76</v>
      </c>
      <c r="B675" s="187" t="s">
        <v>13</v>
      </c>
      <c r="C675" s="11" t="s">
        <v>149</v>
      </c>
      <c r="D675" s="12" t="s">
        <v>38</v>
      </c>
      <c r="E675" s="72">
        <f>2.25*E674</f>
        <v>324.36</v>
      </c>
      <c r="F675" s="14">
        <v>0</v>
      </c>
      <c r="G675" s="94"/>
      <c r="H675" s="107">
        <f t="shared" ref="H675:H680" si="51">E675*F675</f>
        <v>0</v>
      </c>
      <c r="I675" s="15"/>
      <c r="J675" s="1"/>
      <c r="K675" s="1"/>
      <c r="P675" s="1"/>
      <c r="Q675" s="1"/>
      <c r="R675" s="1"/>
      <c r="S675" s="1"/>
    </row>
    <row r="676" spans="1:19" ht="14.25" customHeight="1" x14ac:dyDescent="0.25">
      <c r="A676" s="10" t="s">
        <v>375</v>
      </c>
      <c r="B676" s="187" t="s">
        <v>13</v>
      </c>
      <c r="C676" s="11" t="s">
        <v>599</v>
      </c>
      <c r="D676" s="12" t="s">
        <v>57</v>
      </c>
      <c r="E676" s="12">
        <v>51.8</v>
      </c>
      <c r="F676" s="14">
        <v>0</v>
      </c>
      <c r="G676" s="94"/>
      <c r="H676" s="107">
        <f t="shared" si="51"/>
        <v>0</v>
      </c>
      <c r="I676" s="15"/>
      <c r="J676" s="1"/>
      <c r="K676" s="1">
        <f>2.6*E676</f>
        <v>134.68</v>
      </c>
      <c r="P676" s="1"/>
      <c r="Q676" s="1"/>
      <c r="R676" s="1"/>
      <c r="S676" s="1"/>
    </row>
    <row r="677" spans="1:19" ht="14.25" customHeight="1" x14ac:dyDescent="0.25">
      <c r="A677" s="10" t="s">
        <v>376</v>
      </c>
      <c r="B677" s="187" t="s">
        <v>13</v>
      </c>
      <c r="C677" s="64" t="s">
        <v>280</v>
      </c>
      <c r="D677" s="12" t="s">
        <v>14</v>
      </c>
      <c r="E677" s="12">
        <v>1</v>
      </c>
      <c r="F677" s="14">
        <v>0</v>
      </c>
      <c r="G677" s="94"/>
      <c r="H677" s="107">
        <f t="shared" si="51"/>
        <v>0</v>
      </c>
      <c r="I677" s="15"/>
      <c r="J677" s="1"/>
      <c r="K677" s="1">
        <f>0.53*E677</f>
        <v>0.53</v>
      </c>
      <c r="P677" s="1"/>
      <c r="Q677" s="1"/>
      <c r="R677" s="1"/>
      <c r="S677" s="1"/>
    </row>
    <row r="678" spans="1:19" ht="24" customHeight="1" x14ac:dyDescent="0.25">
      <c r="A678" s="10" t="s">
        <v>377</v>
      </c>
      <c r="B678" s="187" t="s">
        <v>13</v>
      </c>
      <c r="C678" s="64" t="s">
        <v>281</v>
      </c>
      <c r="D678" s="12" t="s">
        <v>14</v>
      </c>
      <c r="E678" s="12">
        <v>3</v>
      </c>
      <c r="F678" s="14">
        <v>0</v>
      </c>
      <c r="G678" s="94"/>
      <c r="H678" s="107">
        <f t="shared" si="51"/>
        <v>0</v>
      </c>
      <c r="I678" s="15"/>
      <c r="J678" s="1"/>
      <c r="K678" s="1">
        <f>1.79*E678</f>
        <v>5.37</v>
      </c>
      <c r="P678" s="1"/>
      <c r="Q678" s="1"/>
      <c r="R678" s="1"/>
      <c r="S678" s="1"/>
    </row>
    <row r="679" spans="1:19" ht="21" customHeight="1" x14ac:dyDescent="0.25">
      <c r="A679" s="10" t="s">
        <v>378</v>
      </c>
      <c r="B679" s="187" t="s">
        <v>13</v>
      </c>
      <c r="C679" s="11" t="s">
        <v>282</v>
      </c>
      <c r="D679" s="12" t="s">
        <v>14</v>
      </c>
      <c r="E679" s="12">
        <v>1</v>
      </c>
      <c r="F679" s="14">
        <v>0</v>
      </c>
      <c r="G679" s="94"/>
      <c r="H679" s="107">
        <f t="shared" si="51"/>
        <v>0</v>
      </c>
      <c r="I679" s="15"/>
      <c r="J679" s="1"/>
      <c r="K679" s="1">
        <f>2.4*E679</f>
        <v>2.4</v>
      </c>
      <c r="P679" s="1"/>
      <c r="Q679" s="1"/>
      <c r="R679" s="1"/>
      <c r="S679" s="1"/>
    </row>
    <row r="680" spans="1:19" ht="28.5" customHeight="1" x14ac:dyDescent="0.25">
      <c r="A680" s="10" t="s">
        <v>379</v>
      </c>
      <c r="B680" s="187" t="s">
        <v>13</v>
      </c>
      <c r="C680" s="64" t="s">
        <v>283</v>
      </c>
      <c r="D680" s="12" t="s">
        <v>14</v>
      </c>
      <c r="E680" s="12">
        <v>1</v>
      </c>
      <c r="F680" s="14">
        <v>0</v>
      </c>
      <c r="G680" s="94"/>
      <c r="H680" s="107">
        <f t="shared" si="51"/>
        <v>0</v>
      </c>
      <c r="I680" s="15"/>
      <c r="J680" s="1"/>
      <c r="K680" s="1">
        <f>1.18*E680</f>
        <v>1.18</v>
      </c>
      <c r="P680" s="1"/>
      <c r="Q680" s="1"/>
      <c r="R680" s="1"/>
      <c r="S680" s="1"/>
    </row>
    <row r="681" spans="1:19" ht="44.25" customHeight="1" x14ac:dyDescent="0.25">
      <c r="A681" s="18">
        <v>14</v>
      </c>
      <c r="B681" s="190" t="s">
        <v>9</v>
      </c>
      <c r="C681" s="264" t="s">
        <v>284</v>
      </c>
      <c r="D681" s="18" t="s">
        <v>53</v>
      </c>
      <c r="E681" s="18">
        <f>1.41+2*1+1*0.22</f>
        <v>3.63</v>
      </c>
      <c r="F681" s="13"/>
      <c r="G681" s="110">
        <v>0</v>
      </c>
      <c r="H681" s="95"/>
      <c r="I681" s="54">
        <f>E681*G681</f>
        <v>0</v>
      </c>
      <c r="J681" s="1"/>
      <c r="K681" s="1"/>
      <c r="P681" s="1"/>
      <c r="Q681" s="1"/>
      <c r="R681" s="1"/>
      <c r="S681" s="1"/>
    </row>
    <row r="682" spans="1:19" ht="14.25" customHeight="1" x14ac:dyDescent="0.25">
      <c r="A682" s="10" t="s">
        <v>78</v>
      </c>
      <c r="B682" s="187" t="s">
        <v>13</v>
      </c>
      <c r="C682" s="11" t="s">
        <v>149</v>
      </c>
      <c r="D682" s="12" t="s">
        <v>38</v>
      </c>
      <c r="E682" s="72">
        <f>1.22*E681</f>
        <v>4.43</v>
      </c>
      <c r="F682" s="14">
        <v>0</v>
      </c>
      <c r="G682" s="94"/>
      <c r="H682" s="107">
        <f>E682*F682</f>
        <v>0</v>
      </c>
      <c r="I682" s="15"/>
      <c r="J682" s="1"/>
      <c r="K682" s="1"/>
      <c r="P682" s="1"/>
      <c r="Q682" s="1"/>
      <c r="R682" s="1"/>
      <c r="S682" s="1"/>
    </row>
    <row r="683" spans="1:19" ht="14.25" customHeight="1" x14ac:dyDescent="0.25">
      <c r="A683" s="10" t="s">
        <v>380</v>
      </c>
      <c r="B683" s="187" t="s">
        <v>13</v>
      </c>
      <c r="C683" s="348" t="s">
        <v>285</v>
      </c>
      <c r="D683" s="12" t="s">
        <v>57</v>
      </c>
      <c r="E683" s="12">
        <v>0.8</v>
      </c>
      <c r="F683" s="14">
        <v>0</v>
      </c>
      <c r="G683" s="94"/>
      <c r="H683" s="107">
        <f t="shared" ref="H683:H686" si="52">E683*F683</f>
        <v>0</v>
      </c>
      <c r="I683" s="15"/>
      <c r="J683" s="1"/>
      <c r="K683" s="1"/>
      <c r="P683" s="1"/>
      <c r="Q683" s="1"/>
      <c r="R683" s="1"/>
      <c r="S683" s="1"/>
    </row>
    <row r="684" spans="1:19" ht="14.25" customHeight="1" x14ac:dyDescent="0.25">
      <c r="A684" s="10" t="s">
        <v>381</v>
      </c>
      <c r="B684" s="187" t="s">
        <v>13</v>
      </c>
      <c r="C684" s="64" t="s">
        <v>286</v>
      </c>
      <c r="D684" s="12" t="s">
        <v>14</v>
      </c>
      <c r="E684" s="12">
        <v>2</v>
      </c>
      <c r="F684" s="14">
        <v>0</v>
      </c>
      <c r="G684" s="94"/>
      <c r="H684" s="107">
        <f t="shared" si="52"/>
        <v>0</v>
      </c>
      <c r="I684" s="15"/>
      <c r="J684" s="1"/>
      <c r="K684" s="1"/>
      <c r="P684" s="1"/>
      <c r="Q684" s="1"/>
      <c r="R684" s="1"/>
      <c r="S684" s="1"/>
    </row>
    <row r="685" spans="1:19" ht="14.25" customHeight="1" x14ac:dyDescent="0.25">
      <c r="A685" s="10" t="s">
        <v>382</v>
      </c>
      <c r="B685" s="187" t="s">
        <v>13</v>
      </c>
      <c r="C685" s="64" t="s">
        <v>287</v>
      </c>
      <c r="D685" s="20" t="s">
        <v>14</v>
      </c>
      <c r="E685" s="20">
        <v>1</v>
      </c>
      <c r="F685" s="14">
        <v>0</v>
      </c>
      <c r="G685" s="94"/>
      <c r="H685" s="107">
        <f t="shared" si="52"/>
        <v>0</v>
      </c>
      <c r="I685" s="15"/>
      <c r="J685" s="1"/>
      <c r="K685" s="1"/>
      <c r="P685" s="1"/>
      <c r="Q685" s="1"/>
      <c r="R685" s="1"/>
      <c r="S685" s="1"/>
    </row>
    <row r="686" spans="1:19" ht="14.25" customHeight="1" x14ac:dyDescent="0.25">
      <c r="A686" s="10" t="s">
        <v>383</v>
      </c>
      <c r="B686" s="349" t="s">
        <v>13</v>
      </c>
      <c r="C686" s="64" t="s">
        <v>288</v>
      </c>
      <c r="D686" s="20" t="s">
        <v>14</v>
      </c>
      <c r="E686" s="20">
        <v>1</v>
      </c>
      <c r="F686" s="14">
        <v>0</v>
      </c>
      <c r="G686" s="94"/>
      <c r="H686" s="107">
        <f t="shared" si="52"/>
        <v>0</v>
      </c>
      <c r="I686" s="15"/>
      <c r="J686" s="1"/>
      <c r="K686" s="1"/>
      <c r="P686" s="1"/>
      <c r="Q686" s="1"/>
      <c r="R686" s="1"/>
      <c r="S686" s="1"/>
    </row>
    <row r="687" spans="1:19" ht="30" customHeight="1" x14ac:dyDescent="0.25">
      <c r="A687" s="16" t="s">
        <v>79</v>
      </c>
      <c r="B687" s="201" t="s">
        <v>9</v>
      </c>
      <c r="C687" s="17" t="s">
        <v>200</v>
      </c>
      <c r="D687" s="19" t="s">
        <v>53</v>
      </c>
      <c r="E687" s="18">
        <v>155.4</v>
      </c>
      <c r="F687" s="27"/>
      <c r="G687" s="110">
        <v>0</v>
      </c>
      <c r="H687" s="95"/>
      <c r="I687" s="54">
        <f>E687*G687</f>
        <v>0</v>
      </c>
      <c r="J687" s="1"/>
      <c r="K687" s="1"/>
      <c r="P687" s="1"/>
      <c r="Q687" s="1"/>
      <c r="R687" s="1"/>
      <c r="S687" s="1"/>
    </row>
    <row r="688" spans="1:19" ht="14.25" customHeight="1" x14ac:dyDescent="0.25">
      <c r="A688" s="10" t="s">
        <v>80</v>
      </c>
      <c r="B688" s="349" t="s">
        <v>13</v>
      </c>
      <c r="C688" s="167" t="s">
        <v>198</v>
      </c>
      <c r="D688" s="84" t="s">
        <v>53</v>
      </c>
      <c r="E688" s="12">
        <f>1.1*E687</f>
        <v>170.94</v>
      </c>
      <c r="F688" s="29">
        <v>0</v>
      </c>
      <c r="G688" s="94"/>
      <c r="H688" s="107">
        <f>E688*F688</f>
        <v>0</v>
      </c>
      <c r="I688" s="15"/>
      <c r="J688" s="1"/>
      <c r="K688" s="1"/>
      <c r="P688" s="1"/>
      <c r="Q688" s="1"/>
      <c r="R688" s="1"/>
      <c r="S688" s="1"/>
    </row>
    <row r="689" spans="1:19" ht="14.25" customHeight="1" thickBot="1" x14ac:dyDescent="0.3">
      <c r="A689" s="345" t="s">
        <v>81</v>
      </c>
      <c r="B689" s="177" t="s">
        <v>13</v>
      </c>
      <c r="C689" s="330" t="s">
        <v>259</v>
      </c>
      <c r="D689" s="331" t="s">
        <v>38</v>
      </c>
      <c r="E689" s="342">
        <f>0.7*E687</f>
        <v>108.78</v>
      </c>
      <c r="F689" s="333">
        <v>0</v>
      </c>
      <c r="G689" s="343"/>
      <c r="H689" s="344">
        <f>E689*F689</f>
        <v>0</v>
      </c>
      <c r="I689" s="334"/>
      <c r="J689" s="1"/>
      <c r="K689" s="1"/>
      <c r="P689" s="1"/>
      <c r="Q689" s="1"/>
      <c r="R689" s="1"/>
      <c r="S689" s="1"/>
    </row>
    <row r="690" spans="1:19" ht="14.25" customHeight="1" thickBot="1" x14ac:dyDescent="0.3">
      <c r="A690" s="43"/>
      <c r="B690" s="191"/>
      <c r="C690" s="168"/>
      <c r="D690" s="46"/>
      <c r="E690" s="46"/>
      <c r="F690" s="119"/>
      <c r="G690" s="100"/>
      <c r="H690" s="113">
        <f>SUM(H663:H689)</f>
        <v>0</v>
      </c>
      <c r="I690" s="81">
        <f>SUM(I662:I689)</f>
        <v>0</v>
      </c>
      <c r="J690" s="1"/>
      <c r="K690" s="1"/>
      <c r="P690" s="1"/>
      <c r="Q690" s="1"/>
      <c r="R690" s="1"/>
      <c r="S690" s="1"/>
    </row>
    <row r="691" spans="1:19" ht="14.25" customHeight="1" thickBot="1" x14ac:dyDescent="0.3">
      <c r="A691" s="43"/>
      <c r="B691" s="191"/>
      <c r="C691" s="45" t="s">
        <v>355</v>
      </c>
      <c r="D691" s="46"/>
      <c r="E691" s="46"/>
      <c r="F691" s="128"/>
      <c r="G691" s="50"/>
      <c r="H691" s="119"/>
      <c r="I691" s="50"/>
      <c r="J691" s="1"/>
      <c r="K691" s="1"/>
      <c r="P691" s="1"/>
      <c r="Q691" s="1"/>
      <c r="R691" s="1"/>
      <c r="S691" s="1"/>
    </row>
    <row r="692" spans="1:19" ht="35.25" customHeight="1" x14ac:dyDescent="0.25">
      <c r="A692" s="89" t="s">
        <v>85</v>
      </c>
      <c r="B692" s="203" t="s">
        <v>9</v>
      </c>
      <c r="C692" s="5" t="s">
        <v>291</v>
      </c>
      <c r="D692" s="51" t="s">
        <v>14</v>
      </c>
      <c r="E692" s="4">
        <v>1</v>
      </c>
      <c r="F692" s="88"/>
      <c r="G692" s="154">
        <v>0</v>
      </c>
      <c r="H692" s="6"/>
      <c r="I692" s="40">
        <f>E692*G692</f>
        <v>0</v>
      </c>
      <c r="J692" s="1"/>
      <c r="K692" s="1"/>
      <c r="P692" s="1"/>
      <c r="Q692" s="1"/>
      <c r="R692" s="1"/>
      <c r="S692" s="1"/>
    </row>
    <row r="693" spans="1:19" ht="14.25" customHeight="1" x14ac:dyDescent="0.25">
      <c r="A693" s="106" t="s">
        <v>86</v>
      </c>
      <c r="B693" s="351" t="s">
        <v>13</v>
      </c>
      <c r="C693" s="328" t="s">
        <v>290</v>
      </c>
      <c r="D693" s="84" t="s">
        <v>14</v>
      </c>
      <c r="E693" s="338">
        <v>1</v>
      </c>
      <c r="F693" s="57">
        <v>0</v>
      </c>
      <c r="G693" s="93"/>
      <c r="H693" s="116">
        <f>E693*F693</f>
        <v>0</v>
      </c>
      <c r="I693" s="112"/>
      <c r="J693" s="1"/>
      <c r="K693" s="1"/>
      <c r="P693" s="1"/>
      <c r="Q693" s="1"/>
      <c r="R693" s="1"/>
      <c r="S693" s="1"/>
    </row>
    <row r="694" spans="1:19" ht="30.75" customHeight="1" x14ac:dyDescent="0.25">
      <c r="A694" s="16" t="s">
        <v>87</v>
      </c>
      <c r="B694" s="192" t="s">
        <v>9</v>
      </c>
      <c r="C694" s="21" t="s">
        <v>30</v>
      </c>
      <c r="D694" s="22" t="s">
        <v>14</v>
      </c>
      <c r="E694" s="22">
        <v>1</v>
      </c>
      <c r="F694" s="23"/>
      <c r="G694" s="111">
        <v>0</v>
      </c>
      <c r="H694" s="95"/>
      <c r="I694" s="24">
        <f>E694*G694</f>
        <v>0</v>
      </c>
      <c r="J694" s="1"/>
      <c r="K694" s="1"/>
      <c r="P694" s="1"/>
      <c r="Q694" s="1"/>
      <c r="R694" s="1"/>
      <c r="S694" s="1"/>
    </row>
    <row r="695" spans="1:19" ht="36" customHeight="1" x14ac:dyDescent="0.25">
      <c r="A695" s="10" t="s">
        <v>88</v>
      </c>
      <c r="B695" s="354" t="s">
        <v>13</v>
      </c>
      <c r="C695" s="328" t="s">
        <v>600</v>
      </c>
      <c r="D695" s="355" t="s">
        <v>14</v>
      </c>
      <c r="E695" s="355">
        <v>1</v>
      </c>
      <c r="F695" s="356">
        <v>0</v>
      </c>
      <c r="G695" s="357"/>
      <c r="H695" s="358">
        <f>E695*F695</f>
        <v>0</v>
      </c>
      <c r="I695" s="15"/>
      <c r="J695" s="1"/>
      <c r="K695" s="1"/>
      <c r="P695" s="1"/>
      <c r="Q695" s="1"/>
      <c r="R695" s="1"/>
      <c r="S695" s="1"/>
    </row>
    <row r="696" spans="1:19" ht="36" customHeight="1" x14ac:dyDescent="0.25">
      <c r="A696" s="16" t="s">
        <v>458</v>
      </c>
      <c r="B696" s="188" t="s">
        <v>9</v>
      </c>
      <c r="C696" s="264" t="s">
        <v>465</v>
      </c>
      <c r="D696" s="18" t="s">
        <v>454</v>
      </c>
      <c r="E696" s="18">
        <v>5</v>
      </c>
      <c r="F696" s="13"/>
      <c r="G696" s="110">
        <v>0</v>
      </c>
      <c r="H696" s="95"/>
      <c r="I696" s="54">
        <f>E696*G696</f>
        <v>0</v>
      </c>
      <c r="J696" s="1"/>
      <c r="K696" s="1"/>
      <c r="P696" s="1"/>
      <c r="Q696" s="1"/>
      <c r="R696" s="1"/>
      <c r="S696" s="1"/>
    </row>
    <row r="697" spans="1:19" ht="51.75" customHeight="1" x14ac:dyDescent="0.25">
      <c r="A697" s="16" t="s">
        <v>91</v>
      </c>
      <c r="B697" s="190" t="s">
        <v>9</v>
      </c>
      <c r="C697" s="17" t="s">
        <v>278</v>
      </c>
      <c r="D697" s="18" t="s">
        <v>53</v>
      </c>
      <c r="E697" s="18">
        <v>154.9</v>
      </c>
      <c r="F697" s="13"/>
      <c r="G697" s="110">
        <v>0</v>
      </c>
      <c r="H697" s="95"/>
      <c r="I697" s="54">
        <f>E697*G697</f>
        <v>0</v>
      </c>
      <c r="J697" s="1"/>
      <c r="K697" s="1">
        <f>K699+K700+K701+K702+K703+K704</f>
        <v>154.892</v>
      </c>
      <c r="P697" s="1"/>
      <c r="Q697" s="1"/>
      <c r="R697" s="1"/>
      <c r="S697" s="1"/>
    </row>
    <row r="698" spans="1:19" x14ac:dyDescent="0.25">
      <c r="A698" s="10" t="s">
        <v>92</v>
      </c>
      <c r="B698" s="187" t="s">
        <v>13</v>
      </c>
      <c r="C698" s="11" t="s">
        <v>149</v>
      </c>
      <c r="D698" s="12" t="s">
        <v>38</v>
      </c>
      <c r="E698" s="72">
        <f>2.25*E697</f>
        <v>348.53</v>
      </c>
      <c r="F698" s="14">
        <v>0</v>
      </c>
      <c r="G698" s="94"/>
      <c r="H698" s="107">
        <f t="shared" ref="H698:H704" si="53">E698*F698</f>
        <v>0</v>
      </c>
      <c r="I698" s="15"/>
      <c r="J698" s="1"/>
      <c r="K698" s="1"/>
      <c r="P698" s="1"/>
      <c r="Q698" s="1"/>
      <c r="R698" s="1"/>
      <c r="S698" s="1"/>
    </row>
    <row r="699" spans="1:19" ht="14.25" customHeight="1" x14ac:dyDescent="0.25">
      <c r="A699" s="10" t="s">
        <v>93</v>
      </c>
      <c r="B699" s="187" t="s">
        <v>13</v>
      </c>
      <c r="C699" s="11" t="s">
        <v>601</v>
      </c>
      <c r="D699" s="12" t="s">
        <v>57</v>
      </c>
      <c r="E699" s="12">
        <v>0.8</v>
      </c>
      <c r="F699" s="14">
        <v>0</v>
      </c>
      <c r="G699" s="94"/>
      <c r="H699" s="107">
        <f t="shared" si="53"/>
        <v>0</v>
      </c>
      <c r="I699" s="15"/>
      <c r="J699" s="1"/>
      <c r="K699" s="1">
        <f>2.84*E699</f>
        <v>2.2719999999999998</v>
      </c>
      <c r="P699" s="1"/>
      <c r="Q699" s="1"/>
      <c r="R699" s="1"/>
      <c r="S699" s="1"/>
    </row>
    <row r="700" spans="1:19" ht="23.25" customHeight="1" x14ac:dyDescent="0.25">
      <c r="A700" s="10" t="s">
        <v>94</v>
      </c>
      <c r="B700" s="194" t="s">
        <v>13</v>
      </c>
      <c r="C700" s="359" t="s">
        <v>279</v>
      </c>
      <c r="D700" s="360" t="s">
        <v>57</v>
      </c>
      <c r="E700" s="370">
        <v>49.5</v>
      </c>
      <c r="F700" s="29">
        <v>0</v>
      </c>
      <c r="G700" s="94"/>
      <c r="H700" s="107">
        <f t="shared" si="53"/>
        <v>0</v>
      </c>
      <c r="I700" s="15"/>
      <c r="J700" s="1"/>
      <c r="K700" s="1">
        <f>2.6*E700</f>
        <v>128.69999999999999</v>
      </c>
      <c r="P700" s="1"/>
      <c r="Q700" s="1"/>
      <c r="R700" s="1"/>
      <c r="S700" s="1"/>
    </row>
    <row r="701" spans="1:19" ht="23.25" customHeight="1" x14ac:dyDescent="0.25">
      <c r="A701" s="10" t="s">
        <v>398</v>
      </c>
      <c r="B701" s="194" t="s">
        <v>13</v>
      </c>
      <c r="C701" s="359" t="s">
        <v>295</v>
      </c>
      <c r="D701" s="360" t="s">
        <v>14</v>
      </c>
      <c r="E701" s="370">
        <v>17</v>
      </c>
      <c r="F701" s="29">
        <v>0</v>
      </c>
      <c r="G701" s="94"/>
      <c r="H701" s="107">
        <f t="shared" si="53"/>
        <v>0</v>
      </c>
      <c r="I701" s="15"/>
      <c r="J701" s="1"/>
      <c r="K701" s="1">
        <f>1.08*E701</f>
        <v>18.36</v>
      </c>
      <c r="P701" s="1"/>
      <c r="Q701" s="1"/>
      <c r="R701" s="1"/>
      <c r="S701" s="1"/>
    </row>
    <row r="702" spans="1:19" ht="14.25" customHeight="1" x14ac:dyDescent="0.25">
      <c r="A702" s="10" t="s">
        <v>399</v>
      </c>
      <c r="B702" s="194" t="s">
        <v>13</v>
      </c>
      <c r="C702" s="359" t="s">
        <v>296</v>
      </c>
      <c r="D702" s="360" t="s">
        <v>14</v>
      </c>
      <c r="E702" s="370">
        <v>1</v>
      </c>
      <c r="F702" s="29">
        <v>0</v>
      </c>
      <c r="G702" s="94"/>
      <c r="H702" s="107">
        <f t="shared" si="53"/>
        <v>0</v>
      </c>
      <c r="I702" s="15"/>
      <c r="J702" s="1"/>
      <c r="K702" s="1">
        <f>0.53*E702</f>
        <v>0.53</v>
      </c>
      <c r="P702" s="1"/>
      <c r="Q702" s="1"/>
      <c r="R702" s="1"/>
      <c r="S702" s="1"/>
    </row>
    <row r="703" spans="1:19" ht="14.25" customHeight="1" x14ac:dyDescent="0.25">
      <c r="A703" s="10" t="s">
        <v>400</v>
      </c>
      <c r="B703" s="194" t="s">
        <v>13</v>
      </c>
      <c r="C703" s="359" t="s">
        <v>602</v>
      </c>
      <c r="D703" s="360" t="s">
        <v>14</v>
      </c>
      <c r="E703" s="370">
        <v>1</v>
      </c>
      <c r="F703" s="29">
        <v>0</v>
      </c>
      <c r="G703" s="94"/>
      <c r="H703" s="107">
        <f t="shared" si="53"/>
        <v>0</v>
      </c>
      <c r="I703" s="15"/>
      <c r="J703" s="1"/>
      <c r="K703" s="1">
        <f>0.48*E703</f>
        <v>0.48</v>
      </c>
      <c r="P703" s="1"/>
      <c r="Q703" s="1"/>
      <c r="R703" s="1"/>
      <c r="S703" s="1"/>
    </row>
    <row r="704" spans="1:19" ht="32.25" customHeight="1" x14ac:dyDescent="0.25">
      <c r="A704" s="10" t="s">
        <v>401</v>
      </c>
      <c r="B704" s="194" t="s">
        <v>13</v>
      </c>
      <c r="C704" s="359" t="s">
        <v>297</v>
      </c>
      <c r="D704" s="360" t="s">
        <v>14</v>
      </c>
      <c r="E704" s="370">
        <v>5</v>
      </c>
      <c r="F704" s="29">
        <v>0</v>
      </c>
      <c r="G704" s="94"/>
      <c r="H704" s="107">
        <f t="shared" si="53"/>
        <v>0</v>
      </c>
      <c r="I704" s="15"/>
      <c r="J704" s="1"/>
      <c r="K704" s="1">
        <f>0.91*E704</f>
        <v>4.55</v>
      </c>
      <c r="P704" s="1"/>
      <c r="Q704" s="1"/>
      <c r="R704" s="1"/>
      <c r="S704" s="1"/>
    </row>
    <row r="705" spans="1:19" ht="55.5" customHeight="1" x14ac:dyDescent="0.25">
      <c r="A705" s="18">
        <v>19</v>
      </c>
      <c r="B705" s="195" t="s">
        <v>9</v>
      </c>
      <c r="C705" s="17" t="s">
        <v>163</v>
      </c>
      <c r="D705" s="18" t="s">
        <v>53</v>
      </c>
      <c r="E705" s="18">
        <v>5.04</v>
      </c>
      <c r="F705" s="13"/>
      <c r="G705" s="110">
        <v>0</v>
      </c>
      <c r="H705" s="95"/>
      <c r="I705" s="54">
        <f>E705*G705</f>
        <v>0</v>
      </c>
      <c r="J705" s="1"/>
      <c r="K705" s="1"/>
      <c r="P705" s="1"/>
      <c r="Q705" s="1"/>
      <c r="R705" s="1"/>
      <c r="S705" s="1"/>
    </row>
    <row r="706" spans="1:19" x14ac:dyDescent="0.25">
      <c r="A706" s="28" t="s">
        <v>96</v>
      </c>
      <c r="B706" s="194" t="s">
        <v>13</v>
      </c>
      <c r="C706" s="11" t="s">
        <v>149</v>
      </c>
      <c r="D706" s="12" t="s">
        <v>38</v>
      </c>
      <c r="E706" s="72">
        <f>2.25*E705</f>
        <v>11.34</v>
      </c>
      <c r="F706" s="14">
        <v>0</v>
      </c>
      <c r="G706" s="94"/>
      <c r="H706" s="107">
        <f>E706*F706</f>
        <v>0</v>
      </c>
      <c r="I706" s="15"/>
      <c r="J706" s="1"/>
      <c r="K706" s="1"/>
      <c r="P706" s="1"/>
      <c r="Q706" s="1"/>
      <c r="R706" s="1"/>
      <c r="S706" s="1"/>
    </row>
    <row r="707" spans="1:19" x14ac:dyDescent="0.25">
      <c r="A707" s="10" t="s">
        <v>97</v>
      </c>
      <c r="B707" s="194" t="s">
        <v>13</v>
      </c>
      <c r="C707" s="11" t="s">
        <v>294</v>
      </c>
      <c r="D707" s="20" t="s">
        <v>57</v>
      </c>
      <c r="E707" s="12">
        <v>2.1</v>
      </c>
      <c r="F707" s="14">
        <v>0</v>
      </c>
      <c r="G707" s="94"/>
      <c r="H707" s="107">
        <f>E707*F707</f>
        <v>0</v>
      </c>
      <c r="I707" s="15"/>
      <c r="J707" s="1"/>
      <c r="K707" s="1">
        <f>2.4*E707</f>
        <v>5.04</v>
      </c>
      <c r="P707" s="1"/>
      <c r="Q707" s="1"/>
      <c r="R707" s="1"/>
      <c r="S707" s="1"/>
    </row>
    <row r="708" spans="1:19" ht="28.5" x14ac:dyDescent="0.25">
      <c r="A708" s="18">
        <v>20</v>
      </c>
      <c r="B708" s="195" t="s">
        <v>9</v>
      </c>
      <c r="C708" s="17" t="s">
        <v>51</v>
      </c>
      <c r="D708" s="19" t="s">
        <v>14</v>
      </c>
      <c r="E708" s="18">
        <v>17</v>
      </c>
      <c r="F708" s="27"/>
      <c r="G708" s="110">
        <v>0</v>
      </c>
      <c r="H708" s="95"/>
      <c r="I708" s="54">
        <f>E708*G708</f>
        <v>0</v>
      </c>
      <c r="J708" s="1"/>
      <c r="K708" s="1"/>
      <c r="P708" s="1"/>
      <c r="Q708" s="1"/>
      <c r="R708" s="1"/>
      <c r="S708" s="1"/>
    </row>
    <row r="709" spans="1:19" ht="45" x14ac:dyDescent="0.25">
      <c r="A709" s="28" t="s">
        <v>99</v>
      </c>
      <c r="B709" s="194" t="s">
        <v>13</v>
      </c>
      <c r="C709" s="359" t="s">
        <v>446</v>
      </c>
      <c r="D709" s="360" t="s">
        <v>14</v>
      </c>
      <c r="E709" s="370">
        <v>17</v>
      </c>
      <c r="F709" s="29">
        <v>0</v>
      </c>
      <c r="G709" s="94"/>
      <c r="H709" s="107">
        <f>E709*F709</f>
        <v>0</v>
      </c>
      <c r="I709" s="15"/>
      <c r="J709" s="1"/>
      <c r="K709" s="1"/>
      <c r="P709" s="1"/>
      <c r="Q709" s="1"/>
      <c r="R709" s="1"/>
      <c r="S709" s="1"/>
    </row>
    <row r="710" spans="1:19" ht="14.25" customHeight="1" x14ac:dyDescent="0.25">
      <c r="A710" s="155" t="s">
        <v>104</v>
      </c>
      <c r="B710" s="204" t="s">
        <v>9</v>
      </c>
      <c r="C710" s="17" t="s">
        <v>200</v>
      </c>
      <c r="D710" s="19" t="s">
        <v>53</v>
      </c>
      <c r="E710" s="18">
        <v>144</v>
      </c>
      <c r="F710" s="27"/>
      <c r="G710" s="110">
        <v>0</v>
      </c>
      <c r="H710" s="95"/>
      <c r="I710" s="54">
        <f>E710*G710</f>
        <v>0</v>
      </c>
      <c r="J710" s="1"/>
      <c r="K710" s="1"/>
      <c r="P710" s="1"/>
      <c r="Q710" s="1"/>
      <c r="R710" s="1"/>
      <c r="S710" s="1"/>
    </row>
    <row r="711" spans="1:19" ht="14.25" customHeight="1" x14ac:dyDescent="0.25">
      <c r="A711" s="28" t="s">
        <v>133</v>
      </c>
      <c r="B711" s="194" t="s">
        <v>13</v>
      </c>
      <c r="C711" s="167" t="s">
        <v>198</v>
      </c>
      <c r="D711" s="84" t="s">
        <v>53</v>
      </c>
      <c r="E711" s="12">
        <f>1.1*E710</f>
        <v>158.4</v>
      </c>
      <c r="F711" s="29">
        <v>0</v>
      </c>
      <c r="G711" s="94"/>
      <c r="H711" s="107">
        <f>E711*F711</f>
        <v>0</v>
      </c>
      <c r="I711" s="15"/>
      <c r="J711" s="1"/>
      <c r="K711" s="1"/>
      <c r="P711" s="1"/>
      <c r="Q711" s="1"/>
      <c r="R711" s="1"/>
      <c r="S711" s="1"/>
    </row>
    <row r="712" spans="1:19" ht="14.25" customHeight="1" thickBot="1" x14ac:dyDescent="0.3">
      <c r="A712" s="117" t="s">
        <v>128</v>
      </c>
      <c r="B712" s="378" t="s">
        <v>13</v>
      </c>
      <c r="C712" s="330" t="s">
        <v>259</v>
      </c>
      <c r="D712" s="331" t="s">
        <v>38</v>
      </c>
      <c r="E712" s="342">
        <f>0.7*E710</f>
        <v>100.8</v>
      </c>
      <c r="F712" s="333">
        <v>0</v>
      </c>
      <c r="G712" s="343"/>
      <c r="H712" s="344">
        <f>E712*F712</f>
        <v>0</v>
      </c>
      <c r="I712" s="334"/>
      <c r="J712" s="1"/>
      <c r="K712" s="1"/>
      <c r="P712" s="1"/>
      <c r="Q712" s="1"/>
      <c r="R712" s="1"/>
      <c r="S712" s="1"/>
    </row>
    <row r="713" spans="1:19" ht="15.75" thickBot="1" x14ac:dyDescent="0.3">
      <c r="A713" s="78"/>
      <c r="B713" s="211"/>
      <c r="C713" s="240" t="s">
        <v>407</v>
      </c>
      <c r="D713" s="46"/>
      <c r="E713" s="46"/>
      <c r="F713" s="128"/>
      <c r="G713" s="50"/>
      <c r="H713" s="91">
        <f>SUM(H693:H712)</f>
        <v>0</v>
      </c>
      <c r="I713" s="81">
        <f>SUM(I692:I712)</f>
        <v>0</v>
      </c>
      <c r="J713" s="1"/>
      <c r="K713" s="1"/>
      <c r="P713" s="1"/>
      <c r="Q713" s="1"/>
      <c r="R713" s="1"/>
      <c r="S713" s="1"/>
    </row>
    <row r="714" spans="1:19" ht="15.75" thickBot="1" x14ac:dyDescent="0.3">
      <c r="A714" s="78"/>
      <c r="B714" s="211"/>
      <c r="C714" s="90" t="s">
        <v>438</v>
      </c>
      <c r="D714" s="46"/>
      <c r="E714" s="46"/>
      <c r="F714" s="128"/>
      <c r="G714" s="50"/>
      <c r="H714" s="91">
        <f>H641+H660+H690+H713</f>
        <v>0</v>
      </c>
      <c r="I714" s="81">
        <f>I641+I660+I690+I713</f>
        <v>0</v>
      </c>
      <c r="J714" s="1"/>
      <c r="K714" s="1"/>
      <c r="P714" s="1"/>
      <c r="Q714" s="1"/>
      <c r="R714" s="1"/>
      <c r="S714" s="1"/>
    </row>
    <row r="715" spans="1:19" ht="15.75" thickBot="1" x14ac:dyDescent="0.3">
      <c r="A715" s="78"/>
      <c r="B715" s="211"/>
      <c r="C715" s="90" t="s">
        <v>439</v>
      </c>
      <c r="D715" s="46"/>
      <c r="E715" s="46"/>
      <c r="F715" s="128"/>
      <c r="G715" s="50"/>
      <c r="H715" s="119"/>
      <c r="I715" s="81">
        <f>H714+I714</f>
        <v>0</v>
      </c>
      <c r="J715" s="1"/>
      <c r="K715" s="1"/>
      <c r="P715" s="1"/>
      <c r="Q715" s="1"/>
      <c r="R715" s="1"/>
      <c r="S715" s="1"/>
    </row>
    <row r="716" spans="1:19" ht="15.75" thickBot="1" x14ac:dyDescent="0.3">
      <c r="A716" s="78"/>
      <c r="B716" s="211"/>
      <c r="C716" s="224" t="s">
        <v>603</v>
      </c>
      <c r="D716" s="47"/>
      <c r="E716" s="46"/>
      <c r="F716" s="379"/>
      <c r="G716" s="380"/>
      <c r="H716" s="119"/>
      <c r="I716" s="81">
        <f>I522+I622+I715</f>
        <v>0</v>
      </c>
      <c r="J716" s="1"/>
      <c r="K716" s="1"/>
      <c r="P716" s="1"/>
      <c r="Q716" s="1"/>
      <c r="R716" s="1"/>
      <c r="S716" s="1"/>
    </row>
    <row r="717" spans="1:19" ht="15.75" thickBot="1" x14ac:dyDescent="0.3">
      <c r="A717" s="73"/>
      <c r="B717" s="218"/>
      <c r="C717" s="101" t="s">
        <v>440</v>
      </c>
      <c r="D717" s="73"/>
      <c r="E717" s="74"/>
      <c r="F717" s="102"/>
      <c r="G717" s="9"/>
      <c r="H717" s="103"/>
      <c r="I717" s="310">
        <f>I353+I716</f>
        <v>0</v>
      </c>
      <c r="K717" s="1"/>
      <c r="P717" s="1"/>
      <c r="Q717" s="1"/>
      <c r="R717" s="1"/>
      <c r="S717" s="1"/>
    </row>
    <row r="718" spans="1:19" ht="15.75" thickBot="1" x14ac:dyDescent="0.3">
      <c r="A718" s="55"/>
      <c r="B718" s="219"/>
      <c r="C718" s="261" t="s">
        <v>67</v>
      </c>
      <c r="D718" s="55"/>
      <c r="E718" s="76"/>
      <c r="F718" s="104"/>
      <c r="G718" s="42"/>
      <c r="H718" s="105"/>
      <c r="I718" s="323">
        <f>I717/1.2*20%</f>
        <v>0</v>
      </c>
      <c r="J718" s="109"/>
      <c r="K718" s="1"/>
      <c r="P718" s="1"/>
      <c r="Q718" s="1"/>
      <c r="R718" s="1"/>
      <c r="S718" s="1"/>
    </row>
  </sheetData>
  <mergeCells count="16">
    <mergeCell ref="H14:I14"/>
    <mergeCell ref="C22:I22"/>
    <mergeCell ref="F14:G14"/>
    <mergeCell ref="A12:C12"/>
    <mergeCell ref="A14:A15"/>
    <mergeCell ref="C14:C15"/>
    <mergeCell ref="D14:D15"/>
    <mergeCell ref="E14:E15"/>
    <mergeCell ref="B14:B15"/>
    <mergeCell ref="B11:I11"/>
    <mergeCell ref="G1:I1"/>
    <mergeCell ref="C7:G7"/>
    <mergeCell ref="B8:I8"/>
    <mergeCell ref="A10:I10"/>
    <mergeCell ref="D2:I2"/>
    <mergeCell ref="A2:B2"/>
  </mergeCells>
  <phoneticPr fontId="9" type="noConversion"/>
  <pageMargins left="0.70866141732283472" right="0.19685039370078741" top="0.59055118110236227" bottom="0.74803149606299213" header="0" footer="0.31496062992125984"/>
  <pageSetup paperSize="9" scale="60" orientation="portrait" horizontalDpi="1200" verticalDpi="1200" r:id="rId1"/>
  <headerFooter>
    <oddFooter>&amp;LГенподрядчик____________________&amp;C&amp;P&amp;RСубподрядчик_____________________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64F0-5DDA-4BE0-BC08-A5D316F1C9C2}">
  <dimension ref="A1:AJ49"/>
  <sheetViews>
    <sheetView workbookViewId="0">
      <selection activeCell="L36" sqref="L36"/>
    </sheetView>
  </sheetViews>
  <sheetFormatPr defaultRowHeight="15" x14ac:dyDescent="0.25"/>
  <cols>
    <col min="1" max="1" width="37.140625" customWidth="1"/>
    <col min="2" max="2" width="9" customWidth="1"/>
    <col min="26" max="34" width="0" hidden="1" customWidth="1"/>
  </cols>
  <sheetData>
    <row r="1" spans="1:36" x14ac:dyDescent="0.25">
      <c r="A1" s="279" t="s">
        <v>548</v>
      </c>
      <c r="B1" s="279" t="s">
        <v>549</v>
      </c>
    </row>
    <row r="2" spans="1:36" ht="15.75" thickBot="1" x14ac:dyDescent="0.3"/>
    <row r="3" spans="1:36" ht="15.75" thickBot="1" x14ac:dyDescent="0.3">
      <c r="A3" s="280" t="s">
        <v>495</v>
      </c>
      <c r="B3" s="281"/>
      <c r="C3" s="282" t="s">
        <v>496</v>
      </c>
      <c r="D3" s="283" t="s">
        <v>497</v>
      </c>
      <c r="E3" s="283" t="s">
        <v>498</v>
      </c>
      <c r="F3" s="283" t="s">
        <v>499</v>
      </c>
      <c r="G3" s="283" t="s">
        <v>500</v>
      </c>
      <c r="H3" s="283" t="s">
        <v>501</v>
      </c>
      <c r="I3" s="283" t="s">
        <v>502</v>
      </c>
      <c r="J3" s="283" t="s">
        <v>503</v>
      </c>
      <c r="K3" s="283" t="s">
        <v>504</v>
      </c>
      <c r="L3" s="283" t="s">
        <v>505</v>
      </c>
      <c r="M3" s="283" t="s">
        <v>506</v>
      </c>
      <c r="N3" s="283" t="s">
        <v>507</v>
      </c>
      <c r="O3" s="283" t="s">
        <v>508</v>
      </c>
      <c r="P3" s="283" t="s">
        <v>509</v>
      </c>
      <c r="Q3" s="283" t="s">
        <v>510</v>
      </c>
      <c r="R3" s="283" t="s">
        <v>511</v>
      </c>
      <c r="S3" s="283" t="s">
        <v>512</v>
      </c>
      <c r="T3" s="283" t="s">
        <v>513</v>
      </c>
      <c r="U3" s="283" t="s">
        <v>514</v>
      </c>
      <c r="V3" s="283" t="s">
        <v>515</v>
      </c>
      <c r="W3" s="283" t="s">
        <v>516</v>
      </c>
      <c r="X3" s="283" t="s">
        <v>517</v>
      </c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4" t="s">
        <v>412</v>
      </c>
      <c r="AJ3" s="285"/>
    </row>
    <row r="4" spans="1:36" x14ac:dyDescent="0.25">
      <c r="A4" s="286" t="s">
        <v>518</v>
      </c>
      <c r="B4" s="287" t="s">
        <v>14</v>
      </c>
      <c r="C4" s="288">
        <v>1</v>
      </c>
      <c r="D4" s="289">
        <v>1</v>
      </c>
      <c r="E4" s="289">
        <v>1</v>
      </c>
      <c r="F4" s="289">
        <v>1</v>
      </c>
      <c r="G4" s="289">
        <v>1</v>
      </c>
      <c r="H4" s="289">
        <v>1</v>
      </c>
      <c r="I4" s="289">
        <v>1</v>
      </c>
      <c r="J4" s="289">
        <v>1</v>
      </c>
      <c r="K4" s="289">
        <v>1</v>
      </c>
      <c r="L4" s="289">
        <v>1</v>
      </c>
      <c r="M4" s="289">
        <v>1</v>
      </c>
      <c r="N4" s="289">
        <v>1</v>
      </c>
      <c r="O4" s="289">
        <v>1</v>
      </c>
      <c r="P4" s="289">
        <v>1</v>
      </c>
      <c r="Q4" s="289">
        <v>1</v>
      </c>
      <c r="R4" s="289">
        <v>1</v>
      </c>
      <c r="S4" s="289">
        <v>1</v>
      </c>
      <c r="T4" s="289">
        <v>1</v>
      </c>
      <c r="U4" s="289">
        <v>1</v>
      </c>
      <c r="V4" s="289">
        <v>1</v>
      </c>
      <c r="W4" s="289">
        <v>1</v>
      </c>
      <c r="X4" s="289">
        <v>1</v>
      </c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90">
        <f>SUM(C4:AH4)</f>
        <v>22</v>
      </c>
      <c r="AJ4" s="291"/>
    </row>
    <row r="5" spans="1:36" x14ac:dyDescent="0.25">
      <c r="A5" s="292" t="s">
        <v>519</v>
      </c>
      <c r="B5" s="293" t="s">
        <v>57</v>
      </c>
      <c r="C5" s="294">
        <v>1</v>
      </c>
      <c r="D5" s="295">
        <v>1</v>
      </c>
      <c r="E5" s="295">
        <v>1</v>
      </c>
      <c r="F5" s="295">
        <v>1</v>
      </c>
      <c r="G5" s="295">
        <v>1</v>
      </c>
      <c r="H5" s="295">
        <v>1</v>
      </c>
      <c r="I5" s="295">
        <v>1</v>
      </c>
      <c r="J5" s="295">
        <v>1</v>
      </c>
      <c r="K5" s="295">
        <v>1</v>
      </c>
      <c r="L5" s="295">
        <v>1</v>
      </c>
      <c r="M5" s="295">
        <v>1</v>
      </c>
      <c r="N5" s="295">
        <v>1</v>
      </c>
      <c r="O5" s="295">
        <v>1</v>
      </c>
      <c r="P5" s="295">
        <v>1</v>
      </c>
      <c r="Q5" s="295">
        <v>1</v>
      </c>
      <c r="R5" s="295">
        <v>1</v>
      </c>
      <c r="S5" s="295">
        <v>1</v>
      </c>
      <c r="T5" s="295">
        <v>1</v>
      </c>
      <c r="U5" s="295">
        <v>1</v>
      </c>
      <c r="V5" s="295">
        <v>1</v>
      </c>
      <c r="W5" s="295">
        <v>1</v>
      </c>
      <c r="X5" s="295">
        <v>1</v>
      </c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0">
        <f t="shared" ref="AI5:AI10" si="0">SUM(C5:AH5)</f>
        <v>22</v>
      </c>
      <c r="AJ5" s="291"/>
    </row>
    <row r="6" spans="1:36" ht="45" x14ac:dyDescent="0.25">
      <c r="A6" s="296" t="s">
        <v>520</v>
      </c>
      <c r="B6" s="293" t="s">
        <v>57</v>
      </c>
      <c r="C6" s="294">
        <v>0.6</v>
      </c>
      <c r="D6" s="295">
        <v>0.6</v>
      </c>
      <c r="E6" s="295">
        <v>0.7</v>
      </c>
      <c r="F6" s="295">
        <v>0.6</v>
      </c>
      <c r="G6" s="295">
        <v>0.6</v>
      </c>
      <c r="H6" s="295">
        <v>1.4</v>
      </c>
      <c r="I6" s="295">
        <v>0.6</v>
      </c>
      <c r="J6" s="295">
        <v>0.6</v>
      </c>
      <c r="K6" s="295">
        <v>0.6</v>
      </c>
      <c r="L6" s="295">
        <v>0.6</v>
      </c>
      <c r="M6" s="295">
        <v>0.6</v>
      </c>
      <c r="N6" s="295">
        <v>0.6</v>
      </c>
      <c r="O6" s="295">
        <v>0.6</v>
      </c>
      <c r="P6" s="295">
        <v>0.6</v>
      </c>
      <c r="Q6" s="295">
        <v>0.6</v>
      </c>
      <c r="R6" s="295">
        <v>0.5</v>
      </c>
      <c r="S6" s="295">
        <v>0.6</v>
      </c>
      <c r="T6" s="295">
        <v>1.3</v>
      </c>
      <c r="U6" s="295">
        <v>2.8</v>
      </c>
      <c r="V6" s="295">
        <v>0.6</v>
      </c>
      <c r="W6" s="295">
        <v>0.6</v>
      </c>
      <c r="X6" s="295">
        <v>2.8</v>
      </c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0">
        <f t="shared" si="0"/>
        <v>19.100000000000001</v>
      </c>
      <c r="AJ6" s="291"/>
    </row>
    <row r="7" spans="1:36" ht="45" x14ac:dyDescent="0.25">
      <c r="A7" s="296" t="s">
        <v>521</v>
      </c>
      <c r="B7" s="293" t="s">
        <v>57</v>
      </c>
      <c r="C7" s="294">
        <v>2</v>
      </c>
      <c r="D7" s="295">
        <v>2</v>
      </c>
      <c r="E7" s="295">
        <v>2</v>
      </c>
      <c r="F7" s="295">
        <v>2</v>
      </c>
      <c r="G7" s="295">
        <v>2</v>
      </c>
      <c r="H7" s="295">
        <v>2</v>
      </c>
      <c r="I7" s="295">
        <v>2</v>
      </c>
      <c r="J7" s="295">
        <v>2.4</v>
      </c>
      <c r="K7" s="295">
        <v>2</v>
      </c>
      <c r="L7" s="295">
        <v>2</v>
      </c>
      <c r="M7" s="295">
        <v>2</v>
      </c>
      <c r="N7" s="295">
        <v>2</v>
      </c>
      <c r="O7" s="295">
        <v>2</v>
      </c>
      <c r="P7" s="295">
        <v>2</v>
      </c>
      <c r="Q7" s="295">
        <v>2</v>
      </c>
      <c r="R7" s="295">
        <v>2.6</v>
      </c>
      <c r="S7" s="295">
        <v>2.6</v>
      </c>
      <c r="T7" s="295">
        <v>2.2999999999999998</v>
      </c>
      <c r="U7" s="295">
        <v>2</v>
      </c>
      <c r="V7" s="295">
        <v>2</v>
      </c>
      <c r="W7" s="295">
        <v>2</v>
      </c>
      <c r="X7" s="295">
        <v>2</v>
      </c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0">
        <f t="shared" si="0"/>
        <v>45.9</v>
      </c>
      <c r="AJ7" s="291"/>
    </row>
    <row r="8" spans="1:36" ht="30" x14ac:dyDescent="0.25">
      <c r="A8" s="296" t="s">
        <v>137</v>
      </c>
      <c r="B8" s="293" t="s">
        <v>14</v>
      </c>
      <c r="C8" s="294">
        <v>1</v>
      </c>
      <c r="D8" s="295">
        <v>1</v>
      </c>
      <c r="E8" s="295">
        <v>1</v>
      </c>
      <c r="F8" s="295">
        <v>1</v>
      </c>
      <c r="G8" s="295">
        <v>1</v>
      </c>
      <c r="H8" s="295">
        <v>2</v>
      </c>
      <c r="I8" s="295">
        <v>1</v>
      </c>
      <c r="J8" s="295">
        <v>1</v>
      </c>
      <c r="K8" s="295">
        <v>1</v>
      </c>
      <c r="L8" s="295">
        <v>1</v>
      </c>
      <c r="M8" s="295">
        <v>1</v>
      </c>
      <c r="N8" s="295">
        <v>1</v>
      </c>
      <c r="O8" s="295">
        <v>1</v>
      </c>
      <c r="P8" s="295">
        <v>1</v>
      </c>
      <c r="Q8" s="295">
        <v>1</v>
      </c>
      <c r="R8" s="295">
        <v>1</v>
      </c>
      <c r="S8" s="295">
        <v>1</v>
      </c>
      <c r="T8" s="295">
        <v>1</v>
      </c>
      <c r="U8" s="295">
        <v>3</v>
      </c>
      <c r="V8" s="295">
        <v>1</v>
      </c>
      <c r="W8" s="295">
        <v>1</v>
      </c>
      <c r="X8" s="295">
        <v>3</v>
      </c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0">
        <f t="shared" si="0"/>
        <v>27</v>
      </c>
      <c r="AJ8" s="291"/>
    </row>
    <row r="9" spans="1:36" ht="30" x14ac:dyDescent="0.25">
      <c r="A9" s="296" t="s">
        <v>142</v>
      </c>
      <c r="B9" s="293" t="s">
        <v>14</v>
      </c>
      <c r="C9" s="294">
        <v>1</v>
      </c>
      <c r="D9" s="295">
        <v>1</v>
      </c>
      <c r="E9" s="295">
        <v>1</v>
      </c>
      <c r="F9" s="295">
        <v>1</v>
      </c>
      <c r="G9" s="295">
        <v>1</v>
      </c>
      <c r="H9" s="295">
        <v>1</v>
      </c>
      <c r="I9" s="295">
        <v>1</v>
      </c>
      <c r="J9" s="295">
        <v>2</v>
      </c>
      <c r="K9" s="295">
        <v>1</v>
      </c>
      <c r="L9" s="295">
        <v>1</v>
      </c>
      <c r="M9" s="295">
        <v>1</v>
      </c>
      <c r="N9" s="295">
        <v>1</v>
      </c>
      <c r="O9" s="295">
        <v>1</v>
      </c>
      <c r="P9" s="295">
        <v>1</v>
      </c>
      <c r="Q9" s="295">
        <v>1</v>
      </c>
      <c r="R9" s="295">
        <v>1</v>
      </c>
      <c r="S9" s="295">
        <v>1</v>
      </c>
      <c r="T9" s="295">
        <v>1</v>
      </c>
      <c r="U9" s="295">
        <v>1</v>
      </c>
      <c r="V9" s="295">
        <v>1</v>
      </c>
      <c r="W9" s="295">
        <v>1</v>
      </c>
      <c r="X9" s="295">
        <v>1</v>
      </c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0">
        <f t="shared" si="0"/>
        <v>23</v>
      </c>
      <c r="AJ9" s="291"/>
    </row>
    <row r="10" spans="1:36" ht="75" x14ac:dyDescent="0.25">
      <c r="A10" s="296" t="s">
        <v>522</v>
      </c>
      <c r="B10" s="293" t="s">
        <v>53</v>
      </c>
      <c r="C10" s="294">
        <v>0.7</v>
      </c>
      <c r="D10" s="295">
        <v>0.7</v>
      </c>
      <c r="E10" s="295">
        <v>0.7</v>
      </c>
      <c r="F10" s="295">
        <v>0.7</v>
      </c>
      <c r="G10" s="295">
        <v>0.7</v>
      </c>
      <c r="H10" s="295">
        <v>0.7</v>
      </c>
      <c r="I10" s="295">
        <v>0.7</v>
      </c>
      <c r="J10" s="295">
        <v>0.8</v>
      </c>
      <c r="K10" s="295">
        <v>0.7</v>
      </c>
      <c r="L10" s="295">
        <v>0.7</v>
      </c>
      <c r="M10" s="295">
        <v>0.7</v>
      </c>
      <c r="N10" s="295">
        <v>0.7</v>
      </c>
      <c r="O10" s="295">
        <v>0.7</v>
      </c>
      <c r="P10" s="295">
        <v>0.7</v>
      </c>
      <c r="Q10" s="295">
        <v>0.7</v>
      </c>
      <c r="R10" s="295">
        <v>0.9</v>
      </c>
      <c r="S10" s="295">
        <v>0.9</v>
      </c>
      <c r="T10" s="295">
        <v>0.8</v>
      </c>
      <c r="U10" s="295">
        <v>0.7</v>
      </c>
      <c r="V10" s="295">
        <v>0.7</v>
      </c>
      <c r="W10" s="295">
        <v>0.7</v>
      </c>
      <c r="X10" s="295">
        <v>0.7</v>
      </c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0">
        <f t="shared" si="0"/>
        <v>16</v>
      </c>
      <c r="AJ10" s="291"/>
    </row>
    <row r="11" spans="1:36" ht="15.75" thickBot="1" x14ac:dyDescent="0.3">
      <c r="A11" s="297"/>
      <c r="B11" s="298"/>
      <c r="C11" s="294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1"/>
    </row>
    <row r="12" spans="1:36" x14ac:dyDescent="0.25">
      <c r="A12" s="299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</row>
    <row r="13" spans="1:36" x14ac:dyDescent="0.25">
      <c r="A13" s="301" t="s">
        <v>594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</row>
    <row r="14" spans="1:36" ht="15.75" thickBot="1" x14ac:dyDescent="0.3">
      <c r="A14" s="299"/>
      <c r="H14" s="309"/>
    </row>
    <row r="15" spans="1:36" ht="15.75" thickBot="1" x14ac:dyDescent="0.3">
      <c r="A15" s="280" t="s">
        <v>495</v>
      </c>
      <c r="B15" s="281"/>
      <c r="C15" s="282" t="s">
        <v>523</v>
      </c>
      <c r="D15" s="283" t="s">
        <v>524</v>
      </c>
      <c r="E15" s="282" t="s">
        <v>525</v>
      </c>
      <c r="F15" s="283" t="s">
        <v>526</v>
      </c>
      <c r="G15" s="282" t="s">
        <v>527</v>
      </c>
      <c r="H15" s="283" t="s">
        <v>528</v>
      </c>
      <c r="I15" s="282" t="s">
        <v>529</v>
      </c>
      <c r="J15" s="283" t="s">
        <v>530</v>
      </c>
      <c r="K15" s="282" t="s">
        <v>531</v>
      </c>
      <c r="L15" s="283" t="s">
        <v>532</v>
      </c>
      <c r="M15" s="282" t="s">
        <v>533</v>
      </c>
      <c r="N15" s="283" t="s">
        <v>534</v>
      </c>
      <c r="O15" s="282" t="s">
        <v>535</v>
      </c>
      <c r="P15" s="283" t="s">
        <v>536</v>
      </c>
      <c r="Q15" s="282" t="s">
        <v>537</v>
      </c>
      <c r="R15" s="283" t="s">
        <v>538</v>
      </c>
      <c r="S15" s="282" t="s">
        <v>539</v>
      </c>
      <c r="T15" s="283" t="s">
        <v>540</v>
      </c>
      <c r="U15" s="282"/>
      <c r="V15" s="283"/>
      <c r="W15" s="282"/>
      <c r="X15" s="283"/>
      <c r="Y15" s="282"/>
      <c r="Z15" s="283" t="s">
        <v>541</v>
      </c>
      <c r="AA15" s="282" t="s">
        <v>542</v>
      </c>
      <c r="AB15" s="283" t="s">
        <v>543</v>
      </c>
      <c r="AC15" s="282" t="s">
        <v>544</v>
      </c>
      <c r="AD15" s="283" t="s">
        <v>545</v>
      </c>
      <c r="AE15" s="282" t="s">
        <v>546</v>
      </c>
      <c r="AF15" s="283" t="s">
        <v>547</v>
      </c>
      <c r="AG15" s="283"/>
      <c r="AH15" s="283"/>
      <c r="AI15" s="284" t="s">
        <v>412</v>
      </c>
    </row>
    <row r="16" spans="1:36" x14ac:dyDescent="0.25">
      <c r="A16" s="286" t="s">
        <v>518</v>
      </c>
      <c r="B16" s="287" t="s">
        <v>14</v>
      </c>
      <c r="C16" s="288">
        <v>1</v>
      </c>
      <c r="D16" s="289">
        <v>1</v>
      </c>
      <c r="E16" s="289">
        <v>1</v>
      </c>
      <c r="F16" s="289">
        <v>1</v>
      </c>
      <c r="G16" s="289">
        <v>1</v>
      </c>
      <c r="H16" s="289">
        <v>1</v>
      </c>
      <c r="I16" s="289">
        <v>1</v>
      </c>
      <c r="J16" s="289">
        <v>1</v>
      </c>
      <c r="K16" s="289">
        <v>1</v>
      </c>
      <c r="L16" s="289">
        <v>1</v>
      </c>
      <c r="M16" s="289">
        <v>1</v>
      </c>
      <c r="N16" s="289">
        <v>1</v>
      </c>
      <c r="O16" s="289">
        <v>1</v>
      </c>
      <c r="P16" s="289">
        <v>1</v>
      </c>
      <c r="Q16" s="289">
        <v>1</v>
      </c>
      <c r="R16" s="289">
        <v>1</v>
      </c>
      <c r="S16" s="289">
        <v>1</v>
      </c>
      <c r="T16" s="289">
        <v>1</v>
      </c>
      <c r="U16" s="289"/>
      <c r="V16" s="289"/>
      <c r="W16" s="289"/>
      <c r="X16" s="289"/>
      <c r="Y16" s="289"/>
      <c r="Z16" s="289">
        <v>1</v>
      </c>
      <c r="AA16" s="289">
        <v>1</v>
      </c>
      <c r="AB16" s="289">
        <v>1</v>
      </c>
      <c r="AC16" s="289">
        <v>1</v>
      </c>
      <c r="AD16" s="289">
        <v>1</v>
      </c>
      <c r="AE16" s="289">
        <v>1</v>
      </c>
      <c r="AF16" s="289">
        <v>1</v>
      </c>
      <c r="AG16" s="289"/>
      <c r="AH16" s="289"/>
      <c r="AI16" s="290">
        <f>SUM(C16:AH16)</f>
        <v>25</v>
      </c>
    </row>
    <row r="17" spans="1:36" x14ac:dyDescent="0.25">
      <c r="A17" s="292" t="s">
        <v>519</v>
      </c>
      <c r="B17" s="293" t="s">
        <v>57</v>
      </c>
      <c r="C17" s="294">
        <v>1</v>
      </c>
      <c r="D17" s="295">
        <v>1</v>
      </c>
      <c r="E17" s="295">
        <v>1</v>
      </c>
      <c r="F17" s="295">
        <v>1</v>
      </c>
      <c r="G17" s="295">
        <v>1</v>
      </c>
      <c r="H17" s="295">
        <v>1</v>
      </c>
      <c r="I17" s="295">
        <v>1</v>
      </c>
      <c r="J17" s="295">
        <v>1</v>
      </c>
      <c r="K17" s="295">
        <v>1</v>
      </c>
      <c r="L17" s="295">
        <v>1</v>
      </c>
      <c r="M17" s="295">
        <v>1</v>
      </c>
      <c r="N17" s="295">
        <v>1</v>
      </c>
      <c r="O17" s="295">
        <v>1</v>
      </c>
      <c r="P17" s="295">
        <v>1</v>
      </c>
      <c r="Q17" s="295">
        <v>1</v>
      </c>
      <c r="R17" s="295">
        <v>1</v>
      </c>
      <c r="S17" s="295">
        <v>1</v>
      </c>
      <c r="T17" s="295">
        <v>1</v>
      </c>
      <c r="U17" s="295"/>
      <c r="V17" s="295"/>
      <c r="W17" s="295"/>
      <c r="X17" s="295"/>
      <c r="Y17" s="295"/>
      <c r="Z17" s="295">
        <v>1</v>
      </c>
      <c r="AA17" s="295">
        <v>1</v>
      </c>
      <c r="AB17" s="295">
        <v>1</v>
      </c>
      <c r="AC17" s="295">
        <v>1</v>
      </c>
      <c r="AD17" s="295">
        <v>1</v>
      </c>
      <c r="AE17" s="295">
        <v>1</v>
      </c>
      <c r="AF17" s="295">
        <v>1</v>
      </c>
      <c r="AG17" s="295"/>
      <c r="AH17" s="295"/>
      <c r="AI17" s="290">
        <f t="shared" ref="AI17:AI22" si="1">SUM(C17:AH17)</f>
        <v>25</v>
      </c>
    </row>
    <row r="18" spans="1:36" ht="45" x14ac:dyDescent="0.25">
      <c r="A18" s="296" t="s">
        <v>520</v>
      </c>
      <c r="B18" s="293" t="s">
        <v>57</v>
      </c>
      <c r="C18" s="294">
        <v>1.6</v>
      </c>
      <c r="D18" s="295">
        <v>0.6</v>
      </c>
      <c r="E18" s="295">
        <v>0.5</v>
      </c>
      <c r="F18" s="295">
        <v>0.5</v>
      </c>
      <c r="G18" s="295">
        <v>0.6</v>
      </c>
      <c r="H18" s="295">
        <v>0.6</v>
      </c>
      <c r="I18" s="295">
        <v>0.6</v>
      </c>
      <c r="J18" s="295">
        <v>0.6</v>
      </c>
      <c r="K18" s="295">
        <v>0.6</v>
      </c>
      <c r="L18" s="295">
        <v>0.6</v>
      </c>
      <c r="M18" s="295">
        <v>0.6</v>
      </c>
      <c r="N18" s="295">
        <v>0.5</v>
      </c>
      <c r="O18" s="295">
        <v>0.5</v>
      </c>
      <c r="P18" s="295">
        <v>1.9</v>
      </c>
      <c r="Q18" s="295">
        <v>2.6</v>
      </c>
      <c r="R18" s="295">
        <v>0.6</v>
      </c>
      <c r="S18" s="295">
        <v>0.6</v>
      </c>
      <c r="T18" s="295">
        <v>0.6</v>
      </c>
      <c r="U18" s="295"/>
      <c r="V18" s="295"/>
      <c r="W18" s="295"/>
      <c r="X18" s="295"/>
      <c r="Y18" s="295"/>
      <c r="Z18" s="295">
        <v>0.7</v>
      </c>
      <c r="AA18" s="295">
        <v>2.6</v>
      </c>
      <c r="AB18" s="295">
        <v>0.6</v>
      </c>
      <c r="AC18" s="295">
        <v>0.6</v>
      </c>
      <c r="AD18" s="295">
        <v>0.6</v>
      </c>
      <c r="AE18" s="295">
        <v>0.6</v>
      </c>
      <c r="AF18" s="295">
        <v>0.6</v>
      </c>
      <c r="AG18" s="295"/>
      <c r="AH18" s="295"/>
      <c r="AI18" s="290">
        <f t="shared" si="1"/>
        <v>21</v>
      </c>
    </row>
    <row r="19" spans="1:36" ht="45" x14ac:dyDescent="0.25">
      <c r="A19" s="296" t="s">
        <v>521</v>
      </c>
      <c r="B19" s="293" t="s">
        <v>57</v>
      </c>
      <c r="C19" s="294">
        <v>2</v>
      </c>
      <c r="D19" s="295">
        <v>2</v>
      </c>
      <c r="E19" s="295">
        <v>1.9</v>
      </c>
      <c r="F19" s="295">
        <v>1.9</v>
      </c>
      <c r="G19" s="295">
        <v>2</v>
      </c>
      <c r="H19" s="295">
        <v>2</v>
      </c>
      <c r="I19" s="295">
        <v>2</v>
      </c>
      <c r="J19" s="295">
        <v>2</v>
      </c>
      <c r="K19" s="295">
        <v>2</v>
      </c>
      <c r="L19" s="295">
        <v>2</v>
      </c>
      <c r="M19" s="295">
        <v>2</v>
      </c>
      <c r="N19" s="295">
        <v>2.6</v>
      </c>
      <c r="O19" s="295">
        <v>2.6</v>
      </c>
      <c r="P19" s="295">
        <v>2.6</v>
      </c>
      <c r="Q19" s="295">
        <v>2</v>
      </c>
      <c r="R19" s="295">
        <v>2</v>
      </c>
      <c r="S19" s="295">
        <v>2</v>
      </c>
      <c r="T19" s="295">
        <v>2.5</v>
      </c>
      <c r="U19" s="295"/>
      <c r="V19" s="295"/>
      <c r="W19" s="295"/>
      <c r="X19" s="295"/>
      <c r="Y19" s="295"/>
      <c r="Z19" s="295">
        <v>2</v>
      </c>
      <c r="AA19" s="295">
        <v>2</v>
      </c>
      <c r="AB19" s="295">
        <v>2</v>
      </c>
      <c r="AC19" s="295">
        <v>2</v>
      </c>
      <c r="AD19" s="295">
        <v>2</v>
      </c>
      <c r="AE19" s="295">
        <v>2</v>
      </c>
      <c r="AF19" s="295">
        <v>2</v>
      </c>
      <c r="AG19" s="295"/>
      <c r="AH19" s="295"/>
      <c r="AI19" s="290">
        <f t="shared" si="1"/>
        <v>52.1</v>
      </c>
    </row>
    <row r="20" spans="1:36" ht="30" x14ac:dyDescent="0.25">
      <c r="A20" s="296" t="s">
        <v>137</v>
      </c>
      <c r="B20" s="293" t="s">
        <v>14</v>
      </c>
      <c r="C20" s="294">
        <v>3</v>
      </c>
      <c r="D20" s="295">
        <v>1</v>
      </c>
      <c r="E20" s="295">
        <v>1</v>
      </c>
      <c r="F20" s="295">
        <v>1</v>
      </c>
      <c r="G20" s="295">
        <v>1</v>
      </c>
      <c r="H20" s="295">
        <v>1</v>
      </c>
      <c r="I20" s="295">
        <v>1</v>
      </c>
      <c r="J20" s="295">
        <v>1</v>
      </c>
      <c r="K20" s="295">
        <v>1</v>
      </c>
      <c r="L20" s="295">
        <v>1</v>
      </c>
      <c r="M20" s="295">
        <v>1</v>
      </c>
      <c r="N20" s="295">
        <v>1</v>
      </c>
      <c r="O20" s="295">
        <v>1</v>
      </c>
      <c r="P20" s="295">
        <v>3</v>
      </c>
      <c r="Q20" s="295">
        <v>3</v>
      </c>
      <c r="R20" s="295">
        <v>1</v>
      </c>
      <c r="S20" s="295">
        <v>3</v>
      </c>
      <c r="T20" s="295">
        <v>1</v>
      </c>
      <c r="U20" s="295"/>
      <c r="V20" s="295"/>
      <c r="W20" s="295"/>
      <c r="X20" s="295"/>
      <c r="Y20" s="295"/>
      <c r="Z20" s="295">
        <v>1</v>
      </c>
      <c r="AA20" s="295">
        <v>3</v>
      </c>
      <c r="AB20" s="295">
        <v>1</v>
      </c>
      <c r="AC20" s="295">
        <v>1</v>
      </c>
      <c r="AD20" s="295">
        <v>1</v>
      </c>
      <c r="AE20" s="295">
        <v>1</v>
      </c>
      <c r="AF20" s="295">
        <v>1</v>
      </c>
      <c r="AG20" s="295"/>
      <c r="AH20" s="295"/>
      <c r="AI20" s="290">
        <f t="shared" si="1"/>
        <v>35</v>
      </c>
    </row>
    <row r="21" spans="1:36" ht="30" x14ac:dyDescent="0.25">
      <c r="A21" s="296" t="s">
        <v>142</v>
      </c>
      <c r="B21" s="293" t="s">
        <v>14</v>
      </c>
      <c r="C21" s="294">
        <v>1</v>
      </c>
      <c r="D21" s="295">
        <v>1</v>
      </c>
      <c r="E21" s="295">
        <v>1</v>
      </c>
      <c r="F21" s="295">
        <v>1</v>
      </c>
      <c r="G21" s="295">
        <v>1</v>
      </c>
      <c r="H21" s="295">
        <v>1</v>
      </c>
      <c r="I21" s="295">
        <v>1</v>
      </c>
      <c r="J21" s="295">
        <v>1</v>
      </c>
      <c r="K21" s="295">
        <v>1</v>
      </c>
      <c r="L21" s="295">
        <v>1</v>
      </c>
      <c r="M21" s="295">
        <v>1</v>
      </c>
      <c r="N21" s="295">
        <v>1</v>
      </c>
      <c r="O21" s="295">
        <v>1</v>
      </c>
      <c r="P21" s="295">
        <v>1</v>
      </c>
      <c r="Q21" s="295">
        <v>1</v>
      </c>
      <c r="R21" s="295">
        <v>1</v>
      </c>
      <c r="S21" s="295">
        <v>1</v>
      </c>
      <c r="T21" s="295">
        <v>2</v>
      </c>
      <c r="U21" s="295"/>
      <c r="V21" s="295"/>
      <c r="W21" s="295"/>
      <c r="X21" s="295"/>
      <c r="Y21" s="295"/>
      <c r="Z21" s="295">
        <v>1</v>
      </c>
      <c r="AA21" s="295">
        <v>1</v>
      </c>
      <c r="AB21" s="295">
        <v>1</v>
      </c>
      <c r="AC21" s="295">
        <v>1</v>
      </c>
      <c r="AD21" s="295">
        <v>1</v>
      </c>
      <c r="AE21" s="295">
        <v>1</v>
      </c>
      <c r="AF21" s="295">
        <v>1</v>
      </c>
      <c r="AG21" s="295"/>
      <c r="AH21" s="295"/>
      <c r="AI21" s="290">
        <f t="shared" si="1"/>
        <v>26</v>
      </c>
    </row>
    <row r="22" spans="1:36" ht="75" x14ac:dyDescent="0.25">
      <c r="A22" s="296" t="s">
        <v>522</v>
      </c>
      <c r="B22" s="293" t="s">
        <v>53</v>
      </c>
      <c r="C22" s="294">
        <v>0.7</v>
      </c>
      <c r="D22" s="295">
        <v>0.7</v>
      </c>
      <c r="E22" s="295">
        <v>0.7</v>
      </c>
      <c r="F22" s="295">
        <v>0.7</v>
      </c>
      <c r="G22" s="295">
        <v>0.7</v>
      </c>
      <c r="H22" s="295">
        <v>0.7</v>
      </c>
      <c r="I22" s="295">
        <v>0.7</v>
      </c>
      <c r="J22" s="295">
        <v>0.7</v>
      </c>
      <c r="K22" s="295">
        <v>0.7</v>
      </c>
      <c r="L22" s="295">
        <v>0.7</v>
      </c>
      <c r="M22" s="295">
        <v>0.7</v>
      </c>
      <c r="N22" s="295">
        <v>0.9</v>
      </c>
      <c r="O22" s="295">
        <v>0.9</v>
      </c>
      <c r="P22" s="295">
        <v>0.9</v>
      </c>
      <c r="Q22" s="295">
        <v>0.7</v>
      </c>
      <c r="R22" s="295">
        <v>0.7</v>
      </c>
      <c r="S22" s="295">
        <v>0.7</v>
      </c>
      <c r="T22" s="295">
        <v>0.9</v>
      </c>
      <c r="U22" s="295"/>
      <c r="V22" s="295"/>
      <c r="W22" s="295"/>
      <c r="X22" s="295"/>
      <c r="Y22" s="295"/>
      <c r="Z22" s="295">
        <v>0.7</v>
      </c>
      <c r="AA22" s="295">
        <v>0.7</v>
      </c>
      <c r="AB22" s="295">
        <v>0.7</v>
      </c>
      <c r="AC22" s="295">
        <v>0.7</v>
      </c>
      <c r="AD22" s="295">
        <v>0.7</v>
      </c>
      <c r="AE22" s="295">
        <v>0.7</v>
      </c>
      <c r="AF22" s="295">
        <v>0.7</v>
      </c>
      <c r="AG22" s="295"/>
      <c r="AH22" s="295"/>
      <c r="AI22" s="290">
        <f t="shared" si="1"/>
        <v>18.3</v>
      </c>
    </row>
    <row r="23" spans="1:36" ht="15.75" thickBot="1" x14ac:dyDescent="0.3">
      <c r="A23" s="297"/>
      <c r="B23" s="298"/>
      <c r="C23" s="294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</row>
    <row r="25" spans="1:36" x14ac:dyDescent="0.25">
      <c r="A25" s="381"/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  <c r="AI25" s="382"/>
      <c r="AJ25" s="382"/>
    </row>
    <row r="26" spans="1:36" x14ac:dyDescent="0.25">
      <c r="A26" s="382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</row>
    <row r="27" spans="1:36" x14ac:dyDescent="0.25">
      <c r="A27" s="382"/>
      <c r="B27" s="382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4"/>
      <c r="AJ27" s="382"/>
    </row>
    <row r="28" spans="1:36" x14ac:dyDescent="0.25">
      <c r="A28" s="382"/>
      <c r="B28" s="382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6"/>
      <c r="AJ28" s="382"/>
    </row>
    <row r="29" spans="1:36" x14ac:dyDescent="0.25">
      <c r="A29" s="382"/>
      <c r="B29" s="382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6"/>
      <c r="AJ29" s="382"/>
    </row>
    <row r="30" spans="1:36" x14ac:dyDescent="0.25">
      <c r="A30" s="387"/>
      <c r="B30" s="382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6"/>
      <c r="AJ30" s="382"/>
    </row>
    <row r="31" spans="1:36" x14ac:dyDescent="0.25">
      <c r="A31" s="387"/>
      <c r="B31" s="382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6"/>
      <c r="AJ31" s="382"/>
    </row>
    <row r="32" spans="1:36" x14ac:dyDescent="0.25">
      <c r="A32" s="387"/>
      <c r="B32" s="382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6"/>
      <c r="AJ32" s="382"/>
    </row>
    <row r="33" spans="1:36" x14ac:dyDescent="0.25">
      <c r="A33" s="387"/>
      <c r="B33" s="382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6"/>
      <c r="AJ33" s="382"/>
    </row>
    <row r="34" spans="1:36" x14ac:dyDescent="0.25">
      <c r="A34" s="387"/>
      <c r="B34" s="382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6"/>
      <c r="AJ34" s="382"/>
    </row>
    <row r="35" spans="1:36" x14ac:dyDescent="0.25">
      <c r="A35" s="387"/>
      <c r="B35" s="382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2"/>
    </row>
    <row r="36" spans="1:36" x14ac:dyDescent="0.25">
      <c r="A36" s="382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</row>
    <row r="37" spans="1:36" x14ac:dyDescent="0.25">
      <c r="A37" s="384"/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2"/>
      <c r="R37" s="382"/>
      <c r="S37" s="382"/>
      <c r="T37" s="382"/>
      <c r="U37" s="382"/>
      <c r="V37" s="382"/>
      <c r="W37" s="382"/>
      <c r="X37" s="382"/>
      <c r="Y37" s="382"/>
      <c r="Z37" s="382"/>
      <c r="AA37" s="382"/>
      <c r="AB37" s="382"/>
      <c r="AC37" s="382"/>
      <c r="AD37" s="382"/>
      <c r="AE37" s="382"/>
      <c r="AF37" s="382"/>
      <c r="AG37" s="382"/>
      <c r="AH37" s="382"/>
      <c r="AI37" s="382"/>
      <c r="AJ37" s="382"/>
    </row>
    <row r="38" spans="1:36" x14ac:dyDescent="0.25">
      <c r="A38" s="382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</row>
    <row r="39" spans="1:36" x14ac:dyDescent="0.25">
      <c r="A39" s="382"/>
      <c r="B39" s="382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4"/>
      <c r="AJ39" s="382"/>
    </row>
    <row r="40" spans="1:36" x14ac:dyDescent="0.25">
      <c r="A40" s="382"/>
      <c r="B40" s="382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  <c r="AH40" s="385"/>
      <c r="AI40" s="386"/>
      <c r="AJ40" s="382"/>
    </row>
    <row r="41" spans="1:36" x14ac:dyDescent="0.25">
      <c r="A41" s="382"/>
      <c r="B41" s="382"/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6"/>
      <c r="AJ41" s="382"/>
    </row>
    <row r="42" spans="1:36" x14ac:dyDescent="0.25">
      <c r="A42" s="387"/>
      <c r="B42" s="382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  <c r="AC42" s="385"/>
      <c r="AD42" s="385"/>
      <c r="AE42" s="385"/>
      <c r="AF42" s="385"/>
      <c r="AG42" s="385"/>
      <c r="AH42" s="385"/>
      <c r="AI42" s="386"/>
      <c r="AJ42" s="382"/>
    </row>
    <row r="43" spans="1:36" x14ac:dyDescent="0.25">
      <c r="A43" s="387"/>
      <c r="B43" s="382"/>
      <c r="C43" s="385"/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5"/>
      <c r="AD43" s="385"/>
      <c r="AE43" s="385"/>
      <c r="AF43" s="385"/>
      <c r="AG43" s="385"/>
      <c r="AH43" s="385"/>
      <c r="AI43" s="386"/>
      <c r="AJ43" s="382"/>
    </row>
    <row r="44" spans="1:36" x14ac:dyDescent="0.25">
      <c r="A44" s="387"/>
      <c r="B44" s="382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85"/>
      <c r="AE44" s="385"/>
      <c r="AF44" s="385"/>
      <c r="AG44" s="385"/>
      <c r="AH44" s="385"/>
      <c r="AI44" s="386"/>
      <c r="AJ44" s="382"/>
    </row>
    <row r="45" spans="1:36" x14ac:dyDescent="0.25">
      <c r="A45" s="387"/>
      <c r="B45" s="382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  <c r="AH45" s="385"/>
      <c r="AI45" s="386"/>
      <c r="AJ45" s="382"/>
    </row>
    <row r="46" spans="1:36" x14ac:dyDescent="0.25">
      <c r="A46" s="387"/>
      <c r="B46" s="382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5"/>
      <c r="AI46" s="386"/>
      <c r="AJ46" s="382"/>
    </row>
    <row r="47" spans="1:36" x14ac:dyDescent="0.25">
      <c r="A47" s="382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</row>
    <row r="48" spans="1:36" x14ac:dyDescent="0.25">
      <c r="A48" s="382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  <c r="Z48" s="382"/>
      <c r="AA48" s="382"/>
      <c r="AB48" s="382"/>
      <c r="AC48" s="382"/>
      <c r="AD48" s="382"/>
      <c r="AE48" s="382"/>
      <c r="AF48" s="382"/>
      <c r="AG48" s="382"/>
      <c r="AH48" s="382"/>
      <c r="AI48" s="382"/>
      <c r="AJ48" s="382"/>
    </row>
    <row r="49" spans="1:36" x14ac:dyDescent="0.25">
      <c r="A49" s="382"/>
      <c r="B49" s="382"/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2"/>
      <c r="P49" s="382"/>
      <c r="Q49" s="382"/>
      <c r="R49" s="382"/>
      <c r="S49" s="382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382"/>
      <c r="AE49" s="382"/>
      <c r="AF49" s="382"/>
      <c r="AG49" s="382"/>
      <c r="AH49" s="382"/>
      <c r="AI49" s="382"/>
      <c r="AJ49" s="38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 ОВ2 К19</vt:lpstr>
      <vt:lpstr>Лист1</vt:lpstr>
      <vt:lpstr>'КП ОВ2 К19'!Заголовки_для_печати</vt:lpstr>
      <vt:lpstr>'КП ОВ2 К19'!Область_печати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cp:lastPrinted>2024-05-07T14:28:01Z</cp:lastPrinted>
  <dcterms:created xsi:type="dcterms:W3CDTF">2022-01-31T12:48:15Z</dcterms:created>
  <dcterms:modified xsi:type="dcterms:W3CDTF">2024-05-27T06:18:29Z</dcterms:modified>
</cp:coreProperties>
</file>